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7400" windowHeight="11775" activeTab="0"/>
  </bookViews>
  <sheets>
    <sheet name="Ensemble" sheetId="1" r:id="rId1"/>
  </sheets>
  <definedNames/>
  <calcPr fullCalcOnLoad="1"/>
</workbook>
</file>

<file path=xl/comments1.xml><?xml version="1.0" encoding="utf-8"?>
<comments xmlns="http://schemas.openxmlformats.org/spreadsheetml/2006/main">
  <authors>
    <author>usertemplate</author>
  </authors>
  <commentList>
    <comment ref="K117" authorId="0">
      <text>
        <r>
          <rPr>
            <b/>
            <sz val="8"/>
            <rFont val="Tahoma"/>
            <family val="2"/>
          </rPr>
          <t>j'ai retiré les 1522 militaires de polytechnique classés dans la DGA</t>
        </r>
      </text>
    </comment>
    <comment ref="K127" authorId="0">
      <text>
        <r>
          <rPr>
            <b/>
            <sz val="8"/>
            <rFont val="Tahoma"/>
            <family val="2"/>
          </rPr>
          <t>j'ai retiré les 1535 militaires de polytechnique classés dans la DGA</t>
        </r>
      </text>
    </comment>
    <comment ref="K137" authorId="0">
      <text>
        <r>
          <rPr>
            <b/>
            <sz val="8"/>
            <rFont val="Tahoma"/>
            <family val="2"/>
          </rPr>
          <t>j'ai retiré les 1535 militaires de polytechnique classés dans la DGA</t>
        </r>
      </text>
    </comment>
  </commentList>
</comments>
</file>

<file path=xl/sharedStrings.xml><?xml version="1.0" encoding="utf-8"?>
<sst xmlns="http://schemas.openxmlformats.org/spreadsheetml/2006/main" count="330" uniqueCount="19">
  <si>
    <t>Terre</t>
  </si>
  <si>
    <t>Marine</t>
  </si>
  <si>
    <t>Total 3 armées</t>
  </si>
  <si>
    <t>contrat</t>
  </si>
  <si>
    <t>Carrière</t>
  </si>
  <si>
    <t>effectif</t>
  </si>
  <si>
    <t>ratio carrière / contrat</t>
  </si>
  <si>
    <t>Total (hors gendarmerie)</t>
  </si>
  <si>
    <t>officiers</t>
  </si>
  <si>
    <t>sous-officiers</t>
  </si>
  <si>
    <t>volontaires</t>
  </si>
  <si>
    <t>militaires du rang</t>
  </si>
  <si>
    <t>ratio carrière / contrat (en %)</t>
  </si>
  <si>
    <t>Air et Espace</t>
  </si>
  <si>
    <t>Autres*</t>
  </si>
  <si>
    <r>
      <t xml:space="preserve">Champ : Militaires de carrière ou sous contrat </t>
    </r>
    <r>
      <rPr>
        <b/>
        <i/>
        <u val="single"/>
        <sz val="10"/>
        <rFont val="Calibri"/>
        <family val="2"/>
      </rPr>
      <t>hors gendarmerie</t>
    </r>
    <r>
      <rPr>
        <b/>
        <i/>
        <sz val="10"/>
        <rFont val="Calibri"/>
        <family val="2"/>
      </rPr>
      <t xml:space="preserve"> (trois armées + autres structures à partir de 2002) sous PMEA du ministère des Armées</t>
    </r>
  </si>
  <si>
    <t xml:space="preserve">NB : Les élèves de l'Ecole polytechnique sont comptabilisés, selon les années de référence, parmi les officiers de l'armées de terre ou ceux de la DGA ("Autres"). Pour conserver une cohérence dans les séries statistiques, cette population, de près de 1 500 élèves, a été écartée. </t>
  </si>
  <si>
    <t>* DGA (Direction générale de l'armement, hors élèves de Polytechnique), SSA (Service de santé des armées), SEO (Service de l'énergie opérationnelle), SCA (Service du commissariat des armées), SJM (Dervice de la justice militaire), CGA (Contrôle général des armées) et SID (Service d'infrastructure de la défense)</t>
  </si>
  <si>
    <t>Evolution de la répartition des militaires de carrière et sous contrat par armée, sur 22 ans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</si>
</sst>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0.0"/>
    <numFmt numFmtId="168" formatCode="0.000000"/>
    <numFmt numFmtId="169" formatCode="0.00000"/>
    <numFmt numFmtId="170" formatCode="0.0000"/>
    <numFmt numFmtId="171" formatCode="#,##0.0"/>
    <numFmt numFmtId="172" formatCode="0.00000000"/>
    <numFmt numFmtId="173" formatCode="0.000000000"/>
    <numFmt numFmtId="174" formatCode="0.0000000"/>
    <numFmt numFmtId="175" formatCode="#,##0.000"/>
    <numFmt numFmtId="176" formatCode="#,##0.0000"/>
  </numFmts>
  <fonts count="52">
    <font>
      <sz val="11"/>
      <color theme="1"/>
      <name val="Calibri"/>
      <family val="2"/>
    </font>
    <font>
      <sz val="11"/>
      <color indexed="8"/>
      <name val="Calibri"/>
      <family val="2"/>
    </font>
    <font>
      <sz val="8"/>
      <name val="Calibri"/>
      <family val="2"/>
    </font>
    <font>
      <sz val="10"/>
      <name val="Calibri"/>
      <family val="2"/>
    </font>
    <font>
      <sz val="11"/>
      <color indexed="9"/>
      <name val="Calibri"/>
      <family val="2"/>
    </font>
    <font>
      <sz val="11"/>
      <name val="Calibri"/>
      <family val="2"/>
    </font>
    <font>
      <b/>
      <i/>
      <sz val="11"/>
      <name val="Calibri"/>
      <family val="2"/>
    </font>
    <font>
      <b/>
      <sz val="11"/>
      <name val="Calibri"/>
      <family val="2"/>
    </font>
    <font>
      <b/>
      <i/>
      <sz val="10"/>
      <name val="Calibri"/>
      <family val="2"/>
    </font>
    <font>
      <b/>
      <i/>
      <u val="single"/>
      <sz val="10"/>
      <name val="Calibri"/>
      <family val="2"/>
    </font>
    <font>
      <i/>
      <sz val="10"/>
      <name val="Calibri"/>
      <family val="2"/>
    </font>
    <font>
      <i/>
      <sz val="11"/>
      <name val="Calibri"/>
      <family val="2"/>
    </font>
    <font>
      <b/>
      <sz val="12"/>
      <name val="Calibri"/>
      <family val="2"/>
    </font>
    <font>
      <b/>
      <sz val="10"/>
      <color indexed="9"/>
      <name val="Calibri"/>
      <family val="2"/>
    </font>
    <font>
      <b/>
      <sz val="12"/>
      <color indexed="9"/>
      <name val="Calibri"/>
      <family val="2"/>
    </font>
    <font>
      <b/>
      <sz val="10"/>
      <color indexed="23"/>
      <name val="Calibri"/>
      <family val="2"/>
    </font>
    <font>
      <sz val="11"/>
      <color indexed="23"/>
      <name val="Calibri"/>
      <family val="2"/>
    </font>
    <font>
      <b/>
      <sz val="8"/>
      <name val="Tahoma"/>
      <family val="2"/>
    </font>
    <font>
      <b/>
      <sz val="10"/>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lightGray">
        <bgColor indexed="55"/>
      </patternFill>
    </fill>
    <fill>
      <patternFill patternType="solid">
        <fgColor indexed="40"/>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style="medium"/>
      <top style="medium"/>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bottom style="medium"/>
    </border>
    <border>
      <left>
        <color indexed="63"/>
      </left>
      <right style="medium"/>
      <top/>
      <bottom style="medium"/>
    </border>
    <border>
      <left style="medium"/>
      <right>
        <color indexed="63"/>
      </right>
      <top style="thin"/>
      <bottom/>
    </border>
    <border>
      <left>
        <color indexed="63"/>
      </left>
      <right style="medium"/>
      <top style="thin"/>
      <bottom/>
    </border>
    <border>
      <left style="medium"/>
      <right>
        <color indexed="63"/>
      </right>
      <top style="thin"/>
      <bottom style="medium"/>
    </border>
    <border>
      <left>
        <color indexed="63"/>
      </left>
      <right style="medium"/>
      <top style="thin"/>
      <bottom style="medium"/>
    </border>
    <border>
      <left style="thin"/>
      <right style="medium"/>
      <top style="medium"/>
      <bottom/>
    </border>
    <border>
      <left style="thin"/>
      <right style="medium"/>
      <top/>
      <bottom style="medium"/>
    </border>
    <border>
      <left>
        <color indexed="63"/>
      </left>
      <right>
        <color indexed="63"/>
      </right>
      <top>
        <color indexed="63"/>
      </top>
      <bottom style="medium"/>
    </border>
    <border>
      <left style="medium"/>
      <right style="thin"/>
      <top style="medium"/>
      <bottom/>
    </border>
    <border>
      <left style="medium"/>
      <right style="thin"/>
      <top/>
      <bottom style="medium"/>
    </border>
    <border>
      <left style="medium"/>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9" borderId="0" applyNumberFormat="0" applyBorder="0" applyAlignment="0" applyProtection="0"/>
    <xf numFmtId="0" fontId="1" fillId="0" borderId="0">
      <alignment/>
      <protection/>
    </xf>
    <xf numFmtId="0" fontId="1" fillId="0" borderId="0">
      <alignment/>
      <protection/>
    </xf>
    <xf numFmtId="0" fontId="1" fillId="30" borderId="3" applyNumberFormat="0" applyFont="0" applyAlignment="0" applyProtection="0"/>
    <xf numFmtId="9" fontId="1"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34">
    <xf numFmtId="0" fontId="0" fillId="0" borderId="0" xfId="0" applyFont="1" applyAlignment="1">
      <alignment/>
    </xf>
    <xf numFmtId="0" fontId="5" fillId="0" borderId="0" xfId="0" applyFont="1" applyAlignment="1">
      <alignment/>
    </xf>
    <xf numFmtId="0" fontId="5" fillId="0" borderId="0" xfId="49" applyFont="1">
      <alignment/>
      <protection/>
    </xf>
    <xf numFmtId="3" fontId="5" fillId="0" borderId="0" xfId="0" applyNumberFormat="1" applyFont="1" applyAlignment="1">
      <alignment/>
    </xf>
    <xf numFmtId="3" fontId="5" fillId="0" borderId="0" xfId="49" applyNumberFormat="1" applyFont="1">
      <alignment/>
      <protection/>
    </xf>
    <xf numFmtId="0" fontId="3" fillId="0" borderId="0" xfId="0" applyFont="1" applyAlignment="1">
      <alignment/>
    </xf>
    <xf numFmtId="0" fontId="6" fillId="0" borderId="0" xfId="49" applyFont="1">
      <alignment/>
      <protection/>
    </xf>
    <xf numFmtId="0" fontId="6" fillId="0" borderId="0" xfId="49" applyFont="1" applyBorder="1">
      <alignment/>
      <protection/>
    </xf>
    <xf numFmtId="0" fontId="5" fillId="0" borderId="0" xfId="0" applyFont="1" applyBorder="1" applyAlignment="1">
      <alignment horizontal="center" vertical="center"/>
    </xf>
    <xf numFmtId="0" fontId="3" fillId="0" borderId="0" xfId="49" applyFont="1" applyAlignment="1">
      <alignment/>
      <protection/>
    </xf>
    <xf numFmtId="0" fontId="3" fillId="0" borderId="0" xfId="0" applyFont="1" applyAlignment="1">
      <alignment/>
    </xf>
    <xf numFmtId="0" fontId="5" fillId="0" borderId="0" xfId="0" applyFont="1" applyFill="1" applyAlignment="1">
      <alignment/>
    </xf>
    <xf numFmtId="0" fontId="11" fillId="0" borderId="0" xfId="0" applyFont="1" applyFill="1" applyBorder="1" applyAlignment="1">
      <alignment horizontal="center" vertical="center"/>
    </xf>
    <xf numFmtId="0" fontId="5" fillId="0" borderId="0" xfId="0" applyFont="1" applyBorder="1" applyAlignment="1">
      <alignment/>
    </xf>
    <xf numFmtId="0" fontId="5" fillId="0" borderId="0" xfId="0" applyFont="1" applyFill="1" applyBorder="1" applyAlignment="1">
      <alignment/>
    </xf>
    <xf numFmtId="0" fontId="3" fillId="0" borderId="0" xfId="0" applyFont="1" applyBorder="1" applyAlignment="1">
      <alignment/>
    </xf>
    <xf numFmtId="3" fontId="12" fillId="0" borderId="10" xfId="50" applyNumberFormat="1" applyFont="1" applyBorder="1">
      <alignment/>
      <protection/>
    </xf>
    <xf numFmtId="3" fontId="12" fillId="0" borderId="11" xfId="50" applyNumberFormat="1" applyFont="1" applyBorder="1">
      <alignment/>
      <protection/>
    </xf>
    <xf numFmtId="0" fontId="12" fillId="33" borderId="10" xfId="49" applyFont="1" applyFill="1" applyBorder="1">
      <alignment/>
      <protection/>
    </xf>
    <xf numFmtId="0" fontId="12" fillId="33" borderId="11" xfId="49" applyFont="1" applyFill="1" applyBorder="1">
      <alignment/>
      <protection/>
    </xf>
    <xf numFmtId="0" fontId="12" fillId="0" borderId="12" xfId="49" applyFont="1" applyFill="1" applyBorder="1">
      <alignment/>
      <protection/>
    </xf>
    <xf numFmtId="3" fontId="12" fillId="0" borderId="10" xfId="49" applyNumberFormat="1" applyFont="1" applyFill="1" applyBorder="1">
      <alignment/>
      <protection/>
    </xf>
    <xf numFmtId="3" fontId="12" fillId="0" borderId="11" xfId="49" applyNumberFormat="1" applyFont="1" applyFill="1" applyBorder="1">
      <alignment/>
      <protection/>
    </xf>
    <xf numFmtId="3" fontId="12" fillId="0" borderId="10" xfId="50" applyNumberFormat="1" applyFont="1" applyFill="1" applyBorder="1">
      <alignment/>
      <protection/>
    </xf>
    <xf numFmtId="3" fontId="12" fillId="0" borderId="11" xfId="50" applyNumberFormat="1" applyFont="1" applyFill="1" applyBorder="1">
      <alignment/>
      <protection/>
    </xf>
    <xf numFmtId="9" fontId="12" fillId="0" borderId="0" xfId="49" applyNumberFormat="1" applyFont="1" applyFill="1" applyBorder="1">
      <alignment/>
      <protection/>
    </xf>
    <xf numFmtId="1" fontId="12" fillId="0" borderId="13" xfId="49" applyNumberFormat="1" applyFont="1" applyFill="1" applyBorder="1">
      <alignment/>
      <protection/>
    </xf>
    <xf numFmtId="3" fontId="12" fillId="0" borderId="14" xfId="50" applyNumberFormat="1" applyFont="1" applyFill="1" applyBorder="1">
      <alignment/>
      <protection/>
    </xf>
    <xf numFmtId="1" fontId="12" fillId="0" borderId="14" xfId="49" applyNumberFormat="1" applyFont="1" applyFill="1" applyBorder="1">
      <alignment/>
      <protection/>
    </xf>
    <xf numFmtId="0" fontId="12" fillId="0" borderId="0" xfId="49" applyFont="1" applyFill="1" applyBorder="1">
      <alignment/>
      <protection/>
    </xf>
    <xf numFmtId="3" fontId="12" fillId="0" borderId="13" xfId="50" applyNumberFormat="1" applyFont="1" applyFill="1" applyBorder="1">
      <alignment/>
      <protection/>
    </xf>
    <xf numFmtId="1" fontId="13" fillId="34" borderId="15" xfId="49" applyNumberFormat="1" applyFont="1" applyFill="1" applyBorder="1">
      <alignment/>
      <protection/>
    </xf>
    <xf numFmtId="1" fontId="13" fillId="34" borderId="16" xfId="49" applyNumberFormat="1" applyFont="1" applyFill="1" applyBorder="1">
      <alignment/>
      <protection/>
    </xf>
    <xf numFmtId="1" fontId="13" fillId="35" borderId="15" xfId="49" applyNumberFormat="1" applyFont="1" applyFill="1" applyBorder="1">
      <alignment/>
      <protection/>
    </xf>
    <xf numFmtId="1" fontId="13" fillId="35" borderId="16" xfId="49" applyNumberFormat="1" applyFont="1" applyFill="1" applyBorder="1">
      <alignment/>
      <protection/>
    </xf>
    <xf numFmtId="0" fontId="4" fillId="33" borderId="15" xfId="49" applyFont="1" applyFill="1" applyBorder="1">
      <alignment/>
      <protection/>
    </xf>
    <xf numFmtId="0" fontId="4" fillId="33" borderId="16" xfId="49" applyFont="1" applyFill="1" applyBorder="1">
      <alignment/>
      <protection/>
    </xf>
    <xf numFmtId="1" fontId="4" fillId="34" borderId="15" xfId="49" applyNumberFormat="1" applyFont="1" applyFill="1" applyBorder="1">
      <alignment/>
      <protection/>
    </xf>
    <xf numFmtId="1" fontId="4" fillId="34" borderId="16" xfId="49" applyNumberFormat="1" applyFont="1" applyFill="1" applyBorder="1">
      <alignment/>
      <protection/>
    </xf>
    <xf numFmtId="1" fontId="4" fillId="35" borderId="15" xfId="49" applyNumberFormat="1" applyFont="1" applyFill="1" applyBorder="1">
      <alignment/>
      <protection/>
    </xf>
    <xf numFmtId="1" fontId="4" fillId="35" borderId="16" xfId="49" applyNumberFormat="1" applyFont="1" applyFill="1" applyBorder="1">
      <alignment/>
      <protection/>
    </xf>
    <xf numFmtId="3" fontId="12" fillId="0" borderId="13" xfId="49" applyNumberFormat="1" applyFont="1" applyFill="1" applyBorder="1">
      <alignment/>
      <protection/>
    </xf>
    <xf numFmtId="3" fontId="12" fillId="0" borderId="14" xfId="49" applyNumberFormat="1" applyFont="1" applyFill="1" applyBorder="1">
      <alignment/>
      <protection/>
    </xf>
    <xf numFmtId="0" fontId="12" fillId="0" borderId="0" xfId="49" applyFont="1">
      <alignment/>
      <protection/>
    </xf>
    <xf numFmtId="0" fontId="12" fillId="0" borderId="17" xfId="49" applyFont="1" applyBorder="1" applyAlignment="1">
      <alignment horizontal="center"/>
      <protection/>
    </xf>
    <xf numFmtId="0" fontId="12" fillId="0" borderId="18" xfId="49" applyFont="1" applyBorder="1" applyAlignment="1">
      <alignment horizontal="center"/>
      <protection/>
    </xf>
    <xf numFmtId="0" fontId="14" fillId="35" borderId="17" xfId="49" applyFont="1" applyFill="1" applyBorder="1" applyAlignment="1">
      <alignment horizontal="center"/>
      <protection/>
    </xf>
    <xf numFmtId="0" fontId="14" fillId="35" borderId="18" xfId="49" applyFont="1" applyFill="1" applyBorder="1" applyAlignment="1">
      <alignment horizontal="center"/>
      <protection/>
    </xf>
    <xf numFmtId="0" fontId="14" fillId="35" borderId="19" xfId="49" applyFont="1" applyFill="1" applyBorder="1" applyAlignment="1">
      <alignment horizontal="center"/>
      <protection/>
    </xf>
    <xf numFmtId="0" fontId="14" fillId="35" borderId="20" xfId="49" applyFont="1" applyFill="1" applyBorder="1" applyAlignment="1">
      <alignment horizontal="center"/>
      <protection/>
    </xf>
    <xf numFmtId="0" fontId="12" fillId="0" borderId="21" xfId="49" applyFont="1" applyBorder="1">
      <alignment/>
      <protection/>
    </xf>
    <xf numFmtId="9" fontId="13" fillId="34" borderId="22" xfId="49" applyNumberFormat="1" applyFont="1" applyFill="1" applyBorder="1">
      <alignment/>
      <protection/>
    </xf>
    <xf numFmtId="9" fontId="15" fillId="36" borderId="0" xfId="49" applyNumberFormat="1" applyFont="1" applyFill="1" applyBorder="1">
      <alignment/>
      <protection/>
    </xf>
    <xf numFmtId="1" fontId="15" fillId="36" borderId="13" xfId="49" applyNumberFormat="1" applyFont="1" applyFill="1" applyBorder="1">
      <alignment/>
      <protection/>
    </xf>
    <xf numFmtId="1" fontId="15" fillId="36" borderId="14" xfId="49" applyNumberFormat="1" applyFont="1" applyFill="1" applyBorder="1">
      <alignment/>
      <protection/>
    </xf>
    <xf numFmtId="1" fontId="15" fillId="37" borderId="13" xfId="49" applyNumberFormat="1" applyFont="1" applyFill="1" applyBorder="1">
      <alignment/>
      <protection/>
    </xf>
    <xf numFmtId="1" fontId="15" fillId="37" borderId="14" xfId="49" applyNumberFormat="1" applyFont="1" applyFill="1" applyBorder="1">
      <alignment/>
      <protection/>
    </xf>
    <xf numFmtId="0" fontId="16" fillId="0" borderId="0" xfId="0" applyFont="1" applyFill="1" applyAlignment="1">
      <alignment/>
    </xf>
    <xf numFmtId="0" fontId="16" fillId="0" borderId="0" xfId="0" applyFont="1" applyFill="1" applyBorder="1" applyAlignment="1">
      <alignment/>
    </xf>
    <xf numFmtId="1" fontId="15" fillId="36" borderId="15" xfId="49" applyNumberFormat="1" applyFont="1" applyFill="1" applyBorder="1">
      <alignment/>
      <protection/>
    </xf>
    <xf numFmtId="1" fontId="15" fillId="36" borderId="16" xfId="49" applyNumberFormat="1" applyFont="1" applyFill="1" applyBorder="1">
      <alignment/>
      <protection/>
    </xf>
    <xf numFmtId="9" fontId="15" fillId="36" borderId="23" xfId="49" applyNumberFormat="1" applyFont="1" applyFill="1" applyBorder="1">
      <alignment/>
      <protection/>
    </xf>
    <xf numFmtId="1" fontId="15" fillId="37" borderId="15" xfId="49" applyNumberFormat="1" applyFont="1" applyFill="1" applyBorder="1">
      <alignment/>
      <protection/>
    </xf>
    <xf numFmtId="1" fontId="15" fillId="37" borderId="16" xfId="49" applyNumberFormat="1" applyFont="1" applyFill="1" applyBorder="1">
      <alignment/>
      <protection/>
    </xf>
    <xf numFmtId="1" fontId="13" fillId="34" borderId="15" xfId="52" applyNumberFormat="1" applyFont="1" applyFill="1" applyBorder="1" applyAlignment="1">
      <alignment/>
    </xf>
    <xf numFmtId="1" fontId="15" fillId="36" borderId="0" xfId="49" applyNumberFormat="1" applyFont="1" applyFill="1" applyBorder="1">
      <alignment/>
      <protection/>
    </xf>
    <xf numFmtId="3" fontId="12" fillId="0" borderId="12" xfId="49" applyNumberFormat="1" applyFont="1" applyFill="1" applyBorder="1">
      <alignment/>
      <protection/>
    </xf>
    <xf numFmtId="3" fontId="12" fillId="0" borderId="0" xfId="50" applyNumberFormat="1" applyFont="1" applyFill="1" applyBorder="1">
      <alignment/>
      <protection/>
    </xf>
    <xf numFmtId="1" fontId="15" fillId="36" borderId="23" xfId="49" applyNumberFormat="1" applyFont="1" applyFill="1" applyBorder="1">
      <alignment/>
      <protection/>
    </xf>
    <xf numFmtId="3" fontId="12" fillId="0" borderId="0" xfId="49" applyNumberFormat="1" applyFont="1" applyFill="1" applyBorder="1">
      <alignment/>
      <protection/>
    </xf>
    <xf numFmtId="0" fontId="5" fillId="0" borderId="0" xfId="0" applyFont="1" applyFill="1" applyBorder="1" applyAlignment="1">
      <alignment horizontal="right" vertical="center"/>
    </xf>
    <xf numFmtId="3" fontId="3" fillId="0" borderId="0" xfId="0" applyNumberFormat="1" applyFont="1" applyAlignment="1">
      <alignment/>
    </xf>
    <xf numFmtId="1" fontId="50" fillId="34" borderId="15" xfId="52" applyNumberFormat="1" applyFont="1" applyFill="1" applyBorder="1" applyAlignment="1">
      <alignment/>
    </xf>
    <xf numFmtId="1" fontId="50" fillId="34" borderId="16" xfId="49" applyNumberFormat="1" applyFont="1" applyFill="1" applyBorder="1">
      <alignment/>
      <protection/>
    </xf>
    <xf numFmtId="1" fontId="50" fillId="35" borderId="15" xfId="49" applyNumberFormat="1" applyFont="1" applyFill="1" applyBorder="1">
      <alignment/>
      <protection/>
    </xf>
    <xf numFmtId="1" fontId="50" fillId="35" borderId="16" xfId="49" applyNumberFormat="1" applyFont="1" applyFill="1" applyBorder="1">
      <alignment/>
      <protection/>
    </xf>
    <xf numFmtId="1" fontId="34" fillId="34" borderId="15" xfId="49" applyNumberFormat="1" applyFont="1" applyFill="1" applyBorder="1">
      <alignment/>
      <protection/>
    </xf>
    <xf numFmtId="1" fontId="34" fillId="34" borderId="16" xfId="49" applyNumberFormat="1" applyFont="1" applyFill="1" applyBorder="1">
      <alignment/>
      <protection/>
    </xf>
    <xf numFmtId="1" fontId="34" fillId="35" borderId="15" xfId="49" applyNumberFormat="1" applyFont="1" applyFill="1" applyBorder="1">
      <alignment/>
      <protection/>
    </xf>
    <xf numFmtId="1" fontId="34" fillId="35" borderId="16" xfId="49" applyNumberFormat="1" applyFont="1" applyFill="1" applyBorder="1">
      <alignment/>
      <protection/>
    </xf>
    <xf numFmtId="1" fontId="18" fillId="36" borderId="13" xfId="49" applyNumberFormat="1" applyFont="1" applyFill="1" applyBorder="1">
      <alignment/>
      <protection/>
    </xf>
    <xf numFmtId="1" fontId="18" fillId="36" borderId="14" xfId="49" applyNumberFormat="1" applyFont="1" applyFill="1" applyBorder="1">
      <alignment/>
      <protection/>
    </xf>
    <xf numFmtId="1" fontId="18" fillId="36" borderId="15" xfId="49" applyNumberFormat="1" applyFont="1" applyFill="1" applyBorder="1">
      <alignment/>
      <protection/>
    </xf>
    <xf numFmtId="1" fontId="18" fillId="36" borderId="16" xfId="49" applyNumberFormat="1" applyFont="1" applyFill="1" applyBorder="1">
      <alignment/>
      <protection/>
    </xf>
    <xf numFmtId="1" fontId="18" fillId="36" borderId="23" xfId="49" applyNumberFormat="1" applyFont="1" applyFill="1" applyBorder="1">
      <alignment/>
      <protection/>
    </xf>
    <xf numFmtId="1" fontId="18" fillId="36" borderId="0" xfId="49" applyNumberFormat="1" applyFont="1" applyFill="1" applyBorder="1">
      <alignment/>
      <protection/>
    </xf>
    <xf numFmtId="1" fontId="18" fillId="37" borderId="13" xfId="49" applyNumberFormat="1" applyFont="1" applyFill="1" applyBorder="1">
      <alignment/>
      <protection/>
    </xf>
    <xf numFmtId="1" fontId="18" fillId="37" borderId="14" xfId="49" applyNumberFormat="1" applyFont="1" applyFill="1" applyBorder="1">
      <alignment/>
      <protection/>
    </xf>
    <xf numFmtId="1" fontId="18" fillId="37" borderId="15" xfId="49" applyNumberFormat="1" applyFont="1" applyFill="1" applyBorder="1">
      <alignment/>
      <protection/>
    </xf>
    <xf numFmtId="1" fontId="18" fillId="37" borderId="16" xfId="49" applyNumberFormat="1" applyFont="1" applyFill="1" applyBorder="1">
      <alignment/>
      <protection/>
    </xf>
    <xf numFmtId="0" fontId="12" fillId="0" borderId="21" xfId="49" applyFont="1" applyFill="1" applyBorder="1">
      <alignment/>
      <protection/>
    </xf>
    <xf numFmtId="0" fontId="10" fillId="0" borderId="0" xfId="49" applyFont="1" applyFill="1">
      <alignment/>
      <protection/>
    </xf>
    <xf numFmtId="3" fontId="10" fillId="0" borderId="0" xfId="49" applyNumberFormat="1" applyFont="1" applyFill="1">
      <alignment/>
      <protection/>
    </xf>
    <xf numFmtId="3" fontId="10" fillId="0" borderId="0" xfId="0" applyNumberFormat="1" applyFont="1" applyFill="1" applyAlignment="1">
      <alignment/>
    </xf>
    <xf numFmtId="1" fontId="5" fillId="17" borderId="15" xfId="49" applyNumberFormat="1" applyFont="1" applyFill="1" applyBorder="1">
      <alignment/>
      <protection/>
    </xf>
    <xf numFmtId="1" fontId="5" fillId="17" borderId="16" xfId="49" applyNumberFormat="1" applyFont="1" applyFill="1" applyBorder="1">
      <alignment/>
      <protection/>
    </xf>
    <xf numFmtId="9" fontId="5" fillId="17" borderId="22" xfId="49" applyNumberFormat="1" applyFont="1" applyFill="1" applyBorder="1">
      <alignment/>
      <protection/>
    </xf>
    <xf numFmtId="1" fontId="5" fillId="17" borderId="15" xfId="52" applyNumberFormat="1" applyFont="1" applyFill="1" applyBorder="1" applyAlignment="1">
      <alignment/>
    </xf>
    <xf numFmtId="9" fontId="16" fillId="5" borderId="0" xfId="49" applyNumberFormat="1" applyFont="1" applyFill="1" applyBorder="1">
      <alignment/>
      <protection/>
    </xf>
    <xf numFmtId="1" fontId="5" fillId="5" borderId="13" xfId="49" applyNumberFormat="1" applyFont="1" applyFill="1" applyBorder="1">
      <alignment/>
      <protection/>
    </xf>
    <xf numFmtId="1" fontId="5" fillId="5" borderId="14" xfId="49" applyNumberFormat="1" applyFont="1" applyFill="1" applyBorder="1">
      <alignment/>
      <protection/>
    </xf>
    <xf numFmtId="1" fontId="5" fillId="5" borderId="0" xfId="49" applyNumberFormat="1" applyFont="1" applyFill="1" applyBorder="1">
      <alignment/>
      <protection/>
    </xf>
    <xf numFmtId="1" fontId="5" fillId="37" borderId="13" xfId="49" applyNumberFormat="1" applyFont="1" applyFill="1" applyBorder="1">
      <alignment/>
      <protection/>
    </xf>
    <xf numFmtId="1" fontId="5" fillId="37" borderId="14" xfId="49" applyNumberFormat="1" applyFont="1" applyFill="1" applyBorder="1">
      <alignment/>
      <protection/>
    </xf>
    <xf numFmtId="9" fontId="16" fillId="5" borderId="23" xfId="49" applyNumberFormat="1" applyFont="1" applyFill="1" applyBorder="1">
      <alignment/>
      <protection/>
    </xf>
    <xf numFmtId="1" fontId="5" fillId="5" borderId="15" xfId="49" applyNumberFormat="1" applyFont="1" applyFill="1" applyBorder="1">
      <alignment/>
      <protection/>
    </xf>
    <xf numFmtId="1" fontId="5" fillId="5" borderId="16" xfId="49" applyNumberFormat="1" applyFont="1" applyFill="1" applyBorder="1">
      <alignment/>
      <protection/>
    </xf>
    <xf numFmtId="1" fontId="5" fillId="5" borderId="23" xfId="49" applyNumberFormat="1" applyFont="1" applyFill="1" applyBorder="1">
      <alignment/>
      <protection/>
    </xf>
    <xf numFmtId="1" fontId="5" fillId="37" borderId="15" xfId="49" applyNumberFormat="1" applyFont="1" applyFill="1" applyBorder="1">
      <alignment/>
      <protection/>
    </xf>
    <xf numFmtId="1" fontId="5" fillId="37" borderId="16" xfId="49" applyNumberFormat="1" applyFont="1" applyFill="1" applyBorder="1">
      <alignment/>
      <protection/>
    </xf>
    <xf numFmtId="3" fontId="5" fillId="0" borderId="0" xfId="0" applyNumberFormat="1" applyFont="1" applyFill="1" applyBorder="1" applyAlignment="1">
      <alignment/>
    </xf>
    <xf numFmtId="3" fontId="5" fillId="0" borderId="0" xfId="0" applyNumberFormat="1" applyFont="1" applyFill="1" applyAlignment="1">
      <alignment/>
    </xf>
    <xf numFmtId="1" fontId="5" fillId="35" borderId="15" xfId="49" applyNumberFormat="1" applyFont="1" applyFill="1" applyBorder="1">
      <alignment/>
      <protection/>
    </xf>
    <xf numFmtId="1" fontId="5" fillId="35" borderId="16" xfId="49" applyNumberFormat="1" applyFont="1" applyFill="1" applyBorder="1">
      <alignment/>
      <protection/>
    </xf>
    <xf numFmtId="0" fontId="7" fillId="17" borderId="24" xfId="0" applyFont="1" applyFill="1" applyBorder="1" applyAlignment="1">
      <alignment horizontal="center" vertical="center"/>
    </xf>
    <xf numFmtId="0" fontId="7" fillId="17" borderId="25" xfId="0" applyFont="1" applyFill="1" applyBorder="1" applyAlignment="1">
      <alignment horizontal="center" vertical="center"/>
    </xf>
    <xf numFmtId="0" fontId="11" fillId="17" borderId="10" xfId="0" applyFont="1" applyFill="1" applyBorder="1" applyAlignment="1">
      <alignment horizontal="center" vertical="center"/>
    </xf>
    <xf numFmtId="0" fontId="11" fillId="17" borderId="13" xfId="0" applyFont="1" applyFill="1" applyBorder="1" applyAlignment="1">
      <alignment horizontal="center" vertical="center"/>
    </xf>
    <xf numFmtId="0" fontId="11" fillId="17" borderId="1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0" xfId="0" applyFont="1" applyFill="1" applyBorder="1" applyAlignment="1">
      <alignment horizontal="center" vertical="center"/>
    </xf>
    <xf numFmtId="0" fontId="10" fillId="0" borderId="0" xfId="0" applyFont="1" applyAlignment="1">
      <alignment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2" fillId="0" borderId="26" xfId="49" applyFont="1" applyBorder="1" applyAlignment="1">
      <alignment horizontal="center"/>
      <protection/>
    </xf>
    <xf numFmtId="0" fontId="12" fillId="0" borderId="27" xfId="49" applyFont="1" applyBorder="1" applyAlignment="1">
      <alignment horizontal="center"/>
      <protection/>
    </xf>
    <xf numFmtId="0" fontId="14" fillId="35" borderId="26" xfId="49" applyFont="1" applyFill="1" applyBorder="1" applyAlignment="1">
      <alignment horizontal="center"/>
      <protection/>
    </xf>
    <xf numFmtId="0" fontId="14" fillId="35" borderId="27" xfId="49" applyFont="1" applyFill="1" applyBorder="1" applyAlignment="1">
      <alignment horizontal="center"/>
      <protection/>
    </xf>
    <xf numFmtId="0" fontId="3" fillId="0" borderId="0" xfId="49" applyFont="1" applyAlignment="1">
      <alignment wrapText="1"/>
      <protection/>
    </xf>
    <xf numFmtId="0" fontId="6" fillId="0" borderId="0" xfId="0" applyFont="1" applyAlignment="1">
      <alignment horizontal="left"/>
    </xf>
    <xf numFmtId="0" fontId="8" fillId="0" borderId="0" xfId="49" applyFont="1" applyAlignment="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_Feuil1" xfId="49"/>
    <cellStyle name="Normal_sous-officier"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31"/>
  <sheetViews>
    <sheetView tabSelected="1" zoomScalePageLayoutView="0" workbookViewId="0" topLeftCell="A1">
      <pane xSplit="2" ySplit="4" topLeftCell="C209" activePane="bottomRight" state="frozen"/>
      <selection pane="topLeft" activeCell="A1" sqref="A1"/>
      <selection pane="topRight" activeCell="C1" sqref="C1"/>
      <selection pane="bottomLeft" activeCell="A5" sqref="A5"/>
      <selection pane="bottomRight" activeCell="A1" sqref="A1:N1"/>
    </sheetView>
  </sheetViews>
  <sheetFormatPr defaultColWidth="11.421875" defaultRowHeight="15"/>
  <cols>
    <col min="1" max="1" width="33.57421875" style="1" customWidth="1"/>
    <col min="2" max="2" width="27.140625" style="1" customWidth="1"/>
    <col min="3" max="8" width="11.421875" style="1" customWidth="1"/>
    <col min="9" max="10" width="12.140625" style="1" customWidth="1"/>
    <col min="11" max="11" width="12.28125" style="1" bestFit="1" customWidth="1"/>
    <col min="12" max="12" width="12.7109375" style="1" bestFit="1" customWidth="1"/>
    <col min="13" max="13" width="14.00390625" style="1" customWidth="1"/>
    <col min="14" max="14" width="13.57421875" style="1" customWidth="1"/>
    <col min="15" max="16384" width="11.421875" style="1" customWidth="1"/>
  </cols>
  <sheetData>
    <row r="1" spans="1:14" ht="15">
      <c r="A1" s="132" t="s">
        <v>18</v>
      </c>
      <c r="B1" s="132"/>
      <c r="C1" s="132"/>
      <c r="D1" s="132"/>
      <c r="E1" s="132"/>
      <c r="F1" s="132"/>
      <c r="G1" s="132"/>
      <c r="H1" s="132"/>
      <c r="I1" s="132"/>
      <c r="J1" s="132"/>
      <c r="K1" s="132"/>
      <c r="L1" s="132"/>
      <c r="M1" s="132"/>
      <c r="N1" s="132"/>
    </row>
    <row r="2" ht="15.75" thickBot="1"/>
    <row r="3" spans="2:14" ht="15.75">
      <c r="B3" s="43"/>
      <c r="C3" s="127" t="s">
        <v>0</v>
      </c>
      <c r="D3" s="128"/>
      <c r="E3" s="127" t="s">
        <v>1</v>
      </c>
      <c r="F3" s="128"/>
      <c r="G3" s="127" t="s">
        <v>13</v>
      </c>
      <c r="H3" s="128"/>
      <c r="I3" s="129" t="s">
        <v>2</v>
      </c>
      <c r="J3" s="130"/>
      <c r="K3" s="127" t="s">
        <v>14</v>
      </c>
      <c r="L3" s="128"/>
      <c r="M3" s="129" t="s">
        <v>7</v>
      </c>
      <c r="N3" s="130"/>
    </row>
    <row r="4" spans="2:14" ht="16.5" thickBot="1">
      <c r="B4" s="43"/>
      <c r="C4" s="44" t="s">
        <v>4</v>
      </c>
      <c r="D4" s="45" t="s">
        <v>3</v>
      </c>
      <c r="E4" s="44" t="s">
        <v>4</v>
      </c>
      <c r="F4" s="45" t="s">
        <v>3</v>
      </c>
      <c r="G4" s="44" t="s">
        <v>4</v>
      </c>
      <c r="H4" s="45" t="s">
        <v>3</v>
      </c>
      <c r="I4" s="46" t="s">
        <v>4</v>
      </c>
      <c r="J4" s="47" t="s">
        <v>3</v>
      </c>
      <c r="K4" s="44" t="s">
        <v>4</v>
      </c>
      <c r="L4" s="45" t="s">
        <v>3</v>
      </c>
      <c r="M4" s="48" t="s">
        <v>4</v>
      </c>
      <c r="N4" s="49" t="s">
        <v>3</v>
      </c>
    </row>
    <row r="5" spans="1:15" ht="15.75">
      <c r="A5" s="125">
        <v>2001</v>
      </c>
      <c r="B5" s="50" t="s">
        <v>5</v>
      </c>
      <c r="C5" s="16">
        <v>45383</v>
      </c>
      <c r="D5" s="17">
        <v>82764</v>
      </c>
      <c r="E5" s="16">
        <v>16335</v>
      </c>
      <c r="F5" s="17">
        <v>26500</v>
      </c>
      <c r="G5" s="16">
        <v>32218</v>
      </c>
      <c r="H5" s="17">
        <v>27524</v>
      </c>
      <c r="I5" s="16">
        <v>93936</v>
      </c>
      <c r="J5" s="17">
        <v>136788</v>
      </c>
      <c r="K5" s="18"/>
      <c r="L5" s="19"/>
      <c r="M5" s="18"/>
      <c r="N5" s="19"/>
      <c r="O5" s="3"/>
    </row>
    <row r="6" spans="1:14" ht="15.75" thickBot="1">
      <c r="A6" s="126"/>
      <c r="B6" s="51" t="s">
        <v>12</v>
      </c>
      <c r="C6" s="31">
        <v>35.414797068991085</v>
      </c>
      <c r="D6" s="32">
        <v>64.58520293100892</v>
      </c>
      <c r="E6" s="31">
        <v>38.13470292984709</v>
      </c>
      <c r="F6" s="32">
        <v>61.86529707015291</v>
      </c>
      <c r="G6" s="31">
        <v>53.92855947239797</v>
      </c>
      <c r="H6" s="32">
        <v>46.07144052760203</v>
      </c>
      <c r="I6" s="33">
        <v>40.71357986165288</v>
      </c>
      <c r="J6" s="34">
        <v>59.28642013834712</v>
      </c>
      <c r="K6" s="35"/>
      <c r="L6" s="36"/>
      <c r="M6" s="35"/>
      <c r="N6" s="36"/>
    </row>
    <row r="7" spans="1:14" s="11" customFormat="1" ht="15.75">
      <c r="A7" s="123" t="s">
        <v>8</v>
      </c>
      <c r="B7" s="20" t="s">
        <v>5</v>
      </c>
      <c r="C7" s="21">
        <v>13566</v>
      </c>
      <c r="D7" s="22">
        <v>2405</v>
      </c>
      <c r="E7" s="21">
        <v>3684</v>
      </c>
      <c r="F7" s="22">
        <v>1037</v>
      </c>
      <c r="G7" s="21">
        <v>4985</v>
      </c>
      <c r="H7" s="22">
        <v>1945</v>
      </c>
      <c r="I7" s="23">
        <v>22235</v>
      </c>
      <c r="J7" s="24">
        <v>5387</v>
      </c>
      <c r="K7" s="21"/>
      <c r="L7" s="22"/>
      <c r="M7" s="23"/>
      <c r="N7" s="24"/>
    </row>
    <row r="8" spans="1:14" s="57" customFormat="1" ht="15">
      <c r="A8" s="121"/>
      <c r="B8" s="52" t="s">
        <v>12</v>
      </c>
      <c r="C8" s="53">
        <v>84.9414563897063</v>
      </c>
      <c r="D8" s="54">
        <v>15.058543610293656</v>
      </c>
      <c r="E8" s="53">
        <v>78.03431476382123</v>
      </c>
      <c r="F8" s="54">
        <v>21.965685236178775</v>
      </c>
      <c r="G8" s="53">
        <v>71.93362193362194</v>
      </c>
      <c r="H8" s="54">
        <v>28.066378066378068</v>
      </c>
      <c r="I8" s="55">
        <v>80.49742958511331</v>
      </c>
      <c r="J8" s="56">
        <v>19.502570414886687</v>
      </c>
      <c r="K8" s="53"/>
      <c r="L8" s="54"/>
      <c r="M8" s="55"/>
      <c r="N8" s="56"/>
    </row>
    <row r="9" spans="1:14" s="11" customFormat="1" ht="15.75">
      <c r="A9" s="121" t="s">
        <v>9</v>
      </c>
      <c r="B9" s="29" t="s">
        <v>5</v>
      </c>
      <c r="C9" s="30">
        <v>31817</v>
      </c>
      <c r="D9" s="27">
        <v>18073</v>
      </c>
      <c r="E9" s="30">
        <v>12651</v>
      </c>
      <c r="F9" s="27">
        <v>17385</v>
      </c>
      <c r="G9" s="30">
        <v>27233</v>
      </c>
      <c r="H9" s="27">
        <v>11645</v>
      </c>
      <c r="I9" s="30">
        <v>71701</v>
      </c>
      <c r="J9" s="27">
        <v>47103</v>
      </c>
      <c r="K9" s="30"/>
      <c r="L9" s="27"/>
      <c r="M9" s="30"/>
      <c r="N9" s="27"/>
    </row>
    <row r="10" spans="1:14" s="57" customFormat="1" ht="15">
      <c r="A10" s="121"/>
      <c r="B10" s="52" t="s">
        <v>12</v>
      </c>
      <c r="C10" s="53">
        <v>63.774303467628776</v>
      </c>
      <c r="D10" s="54">
        <v>36.22569653237122</v>
      </c>
      <c r="E10" s="53">
        <v>42.119456652017575</v>
      </c>
      <c r="F10" s="54">
        <v>57.88054334798242</v>
      </c>
      <c r="G10" s="53">
        <v>70.04732753742476</v>
      </c>
      <c r="H10" s="54">
        <v>29.952672462575237</v>
      </c>
      <c r="I10" s="55">
        <v>60.35234503888758</v>
      </c>
      <c r="J10" s="56">
        <v>39.64765496111242</v>
      </c>
      <c r="K10" s="53"/>
      <c r="L10" s="54"/>
      <c r="M10" s="55"/>
      <c r="N10" s="56"/>
    </row>
    <row r="11" spans="1:14" s="14" customFormat="1" ht="15.75">
      <c r="A11" s="121" t="s">
        <v>11</v>
      </c>
      <c r="B11" s="25" t="s">
        <v>5</v>
      </c>
      <c r="C11" s="26">
        <v>0</v>
      </c>
      <c r="D11" s="27">
        <v>59651</v>
      </c>
      <c r="E11" s="26">
        <v>0</v>
      </c>
      <c r="F11" s="27">
        <v>7237</v>
      </c>
      <c r="G11" s="26">
        <v>0</v>
      </c>
      <c r="H11" s="27">
        <v>13381</v>
      </c>
      <c r="I11" s="26">
        <v>0</v>
      </c>
      <c r="J11" s="27">
        <v>80269</v>
      </c>
      <c r="K11" s="26"/>
      <c r="L11" s="28"/>
      <c r="M11" s="26"/>
      <c r="N11" s="28"/>
    </row>
    <row r="12" spans="1:14" s="58" customFormat="1" ht="15">
      <c r="A12" s="121"/>
      <c r="B12" s="52" t="s">
        <v>12</v>
      </c>
      <c r="C12" s="53">
        <v>0</v>
      </c>
      <c r="D12" s="54">
        <v>100</v>
      </c>
      <c r="E12" s="53">
        <v>0</v>
      </c>
      <c r="F12" s="54">
        <v>100</v>
      </c>
      <c r="G12" s="53">
        <v>0</v>
      </c>
      <c r="H12" s="54">
        <v>100</v>
      </c>
      <c r="I12" s="55">
        <v>0</v>
      </c>
      <c r="J12" s="56">
        <v>100</v>
      </c>
      <c r="K12" s="53"/>
      <c r="L12" s="54"/>
      <c r="M12" s="55"/>
      <c r="N12" s="56"/>
    </row>
    <row r="13" spans="1:14" s="14" customFormat="1" ht="15.75">
      <c r="A13" s="121" t="s">
        <v>10</v>
      </c>
      <c r="B13" s="29" t="s">
        <v>5</v>
      </c>
      <c r="C13" s="26">
        <v>0</v>
      </c>
      <c r="D13" s="27">
        <v>2635</v>
      </c>
      <c r="E13" s="26">
        <v>0</v>
      </c>
      <c r="F13" s="27">
        <v>841</v>
      </c>
      <c r="G13" s="26">
        <v>0</v>
      </c>
      <c r="H13" s="27">
        <v>553</v>
      </c>
      <c r="I13" s="26">
        <v>0</v>
      </c>
      <c r="J13" s="27">
        <v>4029</v>
      </c>
      <c r="K13" s="26"/>
      <c r="L13" s="28"/>
      <c r="M13" s="26"/>
      <c r="N13" s="28"/>
    </row>
    <row r="14" spans="1:14" s="58" customFormat="1" ht="15.75" thickBot="1">
      <c r="A14" s="122"/>
      <c r="B14" s="52" t="s">
        <v>12</v>
      </c>
      <c r="C14" s="59">
        <v>0</v>
      </c>
      <c r="D14" s="60">
        <v>100</v>
      </c>
      <c r="E14" s="59">
        <v>0</v>
      </c>
      <c r="F14" s="60">
        <v>100</v>
      </c>
      <c r="G14" s="59">
        <v>0</v>
      </c>
      <c r="H14" s="60">
        <v>100</v>
      </c>
      <c r="I14" s="55">
        <v>0</v>
      </c>
      <c r="J14" s="56">
        <v>100</v>
      </c>
      <c r="K14" s="59"/>
      <c r="L14" s="54"/>
      <c r="M14" s="55"/>
      <c r="N14" s="56"/>
    </row>
    <row r="15" spans="1:15" ht="15.75">
      <c r="A15" s="125">
        <v>2002</v>
      </c>
      <c r="B15" s="50" t="s">
        <v>5</v>
      </c>
      <c r="C15" s="16">
        <v>43548</v>
      </c>
      <c r="D15" s="17">
        <v>87555</v>
      </c>
      <c r="E15" s="16">
        <v>16549</v>
      </c>
      <c r="F15" s="17">
        <v>26057</v>
      </c>
      <c r="G15" s="16">
        <v>31402</v>
      </c>
      <c r="H15" s="17">
        <v>28892</v>
      </c>
      <c r="I15" s="16">
        <v>91499</v>
      </c>
      <c r="J15" s="17">
        <v>142504</v>
      </c>
      <c r="K15" s="21">
        <v>9695</v>
      </c>
      <c r="L15" s="22">
        <v>3077</v>
      </c>
      <c r="M15" s="21">
        <v>101194</v>
      </c>
      <c r="N15" s="22">
        <v>145581</v>
      </c>
      <c r="O15" s="3"/>
    </row>
    <row r="16" spans="1:14" ht="15.75" thickBot="1">
      <c r="A16" s="126"/>
      <c r="B16" s="51" t="s">
        <v>6</v>
      </c>
      <c r="C16" s="31">
        <v>33.21663119837074</v>
      </c>
      <c r="D16" s="32">
        <v>66.78336880162925</v>
      </c>
      <c r="E16" s="31">
        <v>38.8419471435948</v>
      </c>
      <c r="F16" s="32">
        <v>61.1580528564052</v>
      </c>
      <c r="G16" s="31">
        <v>52.081467476034106</v>
      </c>
      <c r="H16" s="32">
        <v>47.918532523965894</v>
      </c>
      <c r="I16" s="33">
        <v>39.10163544911817</v>
      </c>
      <c r="J16" s="34">
        <v>60.89836455088183</v>
      </c>
      <c r="K16" s="37">
        <v>75.90823676792985</v>
      </c>
      <c r="L16" s="38">
        <v>24.09176323207015</v>
      </c>
      <c r="M16" s="39">
        <v>41.006584945800824</v>
      </c>
      <c r="N16" s="40">
        <v>58.993415054199176</v>
      </c>
    </row>
    <row r="17" spans="1:14" s="11" customFormat="1" ht="15.75">
      <c r="A17" s="123" t="s">
        <v>8</v>
      </c>
      <c r="B17" s="20" t="s">
        <v>5</v>
      </c>
      <c r="C17" s="21">
        <v>13343</v>
      </c>
      <c r="D17" s="22">
        <v>2526</v>
      </c>
      <c r="E17" s="21">
        <v>3695</v>
      </c>
      <c r="F17" s="22">
        <v>1003</v>
      </c>
      <c r="G17" s="21">
        <v>5005</v>
      </c>
      <c r="H17" s="22">
        <v>1961</v>
      </c>
      <c r="I17" s="23">
        <v>22043</v>
      </c>
      <c r="J17" s="24">
        <v>5490</v>
      </c>
      <c r="K17" s="21">
        <v>6001</v>
      </c>
      <c r="L17" s="22">
        <v>231</v>
      </c>
      <c r="M17" s="23">
        <v>28044</v>
      </c>
      <c r="N17" s="24">
        <v>5721</v>
      </c>
    </row>
    <row r="18" spans="1:14" s="57" customFormat="1" ht="15">
      <c r="A18" s="121"/>
      <c r="B18" s="52" t="s">
        <v>6</v>
      </c>
      <c r="C18" s="53">
        <v>84.0821727897158</v>
      </c>
      <c r="D18" s="54">
        <v>15.917827210284202</v>
      </c>
      <c r="E18" s="53">
        <v>78.6504895700298</v>
      </c>
      <c r="F18" s="54">
        <v>21.349510429970202</v>
      </c>
      <c r="G18" s="53">
        <v>71.84898076370945</v>
      </c>
      <c r="H18" s="54">
        <v>28.15101923629055</v>
      </c>
      <c r="I18" s="55">
        <v>80.06029128681945</v>
      </c>
      <c r="J18" s="56">
        <v>19.939708713180547</v>
      </c>
      <c r="K18" s="53">
        <v>96.29332477535301</v>
      </c>
      <c r="L18" s="54">
        <v>3.7066752246469834</v>
      </c>
      <c r="M18" s="55">
        <v>83.05641936916925</v>
      </c>
      <c r="N18" s="56">
        <v>16.94358063083074</v>
      </c>
    </row>
    <row r="19" spans="1:14" s="11" customFormat="1" ht="15.75">
      <c r="A19" s="121" t="s">
        <v>9</v>
      </c>
      <c r="B19" s="29" t="s">
        <v>5</v>
      </c>
      <c r="C19" s="30">
        <v>30205</v>
      </c>
      <c r="D19" s="27">
        <v>18205</v>
      </c>
      <c r="E19" s="30">
        <v>12854</v>
      </c>
      <c r="F19" s="27">
        <v>16449</v>
      </c>
      <c r="G19" s="30">
        <v>26397</v>
      </c>
      <c r="H19" s="27">
        <v>10781</v>
      </c>
      <c r="I19" s="30">
        <v>69456</v>
      </c>
      <c r="J19" s="27">
        <v>45435</v>
      </c>
      <c r="K19" s="30">
        <v>3694</v>
      </c>
      <c r="L19" s="27">
        <v>1521</v>
      </c>
      <c r="M19" s="30">
        <v>73150</v>
      </c>
      <c r="N19" s="27">
        <v>46956</v>
      </c>
    </row>
    <row r="20" spans="1:14" s="57" customFormat="1" ht="15">
      <c r="A20" s="121"/>
      <c r="B20" s="52" t="s">
        <v>6</v>
      </c>
      <c r="C20" s="53">
        <v>62.39413344350341</v>
      </c>
      <c r="D20" s="54">
        <v>37.60586655649659</v>
      </c>
      <c r="E20" s="53">
        <v>43.865815786779514</v>
      </c>
      <c r="F20" s="54">
        <v>56.13418421322049</v>
      </c>
      <c r="G20" s="53">
        <v>71.00166765291301</v>
      </c>
      <c r="H20" s="54">
        <v>28.998332347086986</v>
      </c>
      <c r="I20" s="55">
        <v>60.45382144815521</v>
      </c>
      <c r="J20" s="56">
        <v>39.54617855184479</v>
      </c>
      <c r="K20" s="53">
        <v>70.83413231064237</v>
      </c>
      <c r="L20" s="54">
        <v>29.165867689357622</v>
      </c>
      <c r="M20" s="55">
        <v>60.904534328010264</v>
      </c>
      <c r="N20" s="56">
        <v>39.09546567198974</v>
      </c>
    </row>
    <row r="21" spans="1:14" s="14" customFormat="1" ht="15.75">
      <c r="A21" s="121" t="s">
        <v>11</v>
      </c>
      <c r="B21" s="25" t="s">
        <v>5</v>
      </c>
      <c r="C21" s="41">
        <v>0</v>
      </c>
      <c r="D21" s="27">
        <v>63793</v>
      </c>
      <c r="E21" s="41">
        <v>0</v>
      </c>
      <c r="F21" s="27">
        <v>7353</v>
      </c>
      <c r="G21" s="41">
        <v>0</v>
      </c>
      <c r="H21" s="27">
        <v>15309</v>
      </c>
      <c r="I21" s="41">
        <v>0</v>
      </c>
      <c r="J21" s="27">
        <v>86455</v>
      </c>
      <c r="K21" s="41">
        <v>0</v>
      </c>
      <c r="L21" s="42">
        <v>1055</v>
      </c>
      <c r="M21" s="41">
        <v>0</v>
      </c>
      <c r="N21" s="42">
        <v>87510</v>
      </c>
    </row>
    <row r="22" spans="1:14" s="58" customFormat="1" ht="15">
      <c r="A22" s="121"/>
      <c r="B22" s="52" t="s">
        <v>6</v>
      </c>
      <c r="C22" s="53">
        <v>0</v>
      </c>
      <c r="D22" s="54">
        <v>100</v>
      </c>
      <c r="E22" s="53">
        <v>0</v>
      </c>
      <c r="F22" s="54">
        <v>100</v>
      </c>
      <c r="G22" s="53">
        <v>0</v>
      </c>
      <c r="H22" s="54">
        <v>100</v>
      </c>
      <c r="I22" s="55">
        <v>0</v>
      </c>
      <c r="J22" s="56">
        <v>100</v>
      </c>
      <c r="K22" s="53">
        <v>0</v>
      </c>
      <c r="L22" s="54">
        <v>100</v>
      </c>
      <c r="M22" s="55">
        <v>0</v>
      </c>
      <c r="N22" s="56">
        <v>100</v>
      </c>
    </row>
    <row r="23" spans="1:14" s="14" customFormat="1" ht="15.75">
      <c r="A23" s="121" t="s">
        <v>10</v>
      </c>
      <c r="B23" s="29" t="s">
        <v>5</v>
      </c>
      <c r="C23" s="41">
        <v>0</v>
      </c>
      <c r="D23" s="27">
        <v>3031</v>
      </c>
      <c r="E23" s="41">
        <v>0</v>
      </c>
      <c r="F23" s="27">
        <v>1252</v>
      </c>
      <c r="G23" s="41">
        <v>0</v>
      </c>
      <c r="H23" s="27">
        <v>841</v>
      </c>
      <c r="I23" s="41">
        <v>0</v>
      </c>
      <c r="J23" s="27">
        <v>5124</v>
      </c>
      <c r="K23" s="41">
        <v>0</v>
      </c>
      <c r="L23" s="42">
        <v>270</v>
      </c>
      <c r="M23" s="41">
        <v>0</v>
      </c>
      <c r="N23" s="42">
        <v>5394</v>
      </c>
    </row>
    <row r="24" spans="1:14" s="58" customFormat="1" ht="15.75" thickBot="1">
      <c r="A24" s="122"/>
      <c r="B24" s="52" t="s">
        <v>6</v>
      </c>
      <c r="C24" s="59">
        <v>0</v>
      </c>
      <c r="D24" s="60">
        <v>100</v>
      </c>
      <c r="E24" s="59">
        <v>0</v>
      </c>
      <c r="F24" s="60">
        <v>100</v>
      </c>
      <c r="G24" s="59">
        <v>0</v>
      </c>
      <c r="H24" s="60">
        <v>100</v>
      </c>
      <c r="I24" s="55">
        <v>0</v>
      </c>
      <c r="J24" s="56">
        <v>100</v>
      </c>
      <c r="K24" s="59">
        <v>0</v>
      </c>
      <c r="L24" s="54">
        <v>100</v>
      </c>
      <c r="M24" s="55">
        <v>0</v>
      </c>
      <c r="N24" s="56">
        <v>100</v>
      </c>
    </row>
    <row r="25" spans="1:15" ht="15.75">
      <c r="A25" s="125">
        <v>2003</v>
      </c>
      <c r="B25" s="50" t="s">
        <v>5</v>
      </c>
      <c r="C25" s="16">
        <v>42236</v>
      </c>
      <c r="D25" s="17">
        <v>91711</v>
      </c>
      <c r="E25" s="16">
        <v>16542</v>
      </c>
      <c r="F25" s="17">
        <v>26324</v>
      </c>
      <c r="G25" s="16">
        <v>30657</v>
      </c>
      <c r="H25" s="17">
        <v>30333</v>
      </c>
      <c r="I25" s="16">
        <v>89435</v>
      </c>
      <c r="J25" s="17">
        <v>148368</v>
      </c>
      <c r="K25" s="21">
        <v>9393</v>
      </c>
      <c r="L25" s="22">
        <v>3386</v>
      </c>
      <c r="M25" s="21">
        <v>98828</v>
      </c>
      <c r="N25" s="22">
        <v>151754</v>
      </c>
      <c r="O25" s="3"/>
    </row>
    <row r="26" spans="1:14" ht="15.75" thickBot="1">
      <c r="A26" s="126"/>
      <c r="B26" s="51" t="s">
        <v>6</v>
      </c>
      <c r="C26" s="31">
        <v>31.53187454739561</v>
      </c>
      <c r="D26" s="32">
        <v>68.4681254526044</v>
      </c>
      <c r="E26" s="31">
        <v>38.59002472822283</v>
      </c>
      <c r="F26" s="32">
        <v>61.40997527177717</v>
      </c>
      <c r="G26" s="31">
        <v>50.26561731431383</v>
      </c>
      <c r="H26" s="32">
        <v>49.73438268568617</v>
      </c>
      <c r="I26" s="33">
        <v>37.60886111613394</v>
      </c>
      <c r="J26" s="34">
        <v>62.39113888386606</v>
      </c>
      <c r="K26" s="37">
        <v>73.50340402222396</v>
      </c>
      <c r="L26" s="38">
        <v>26.49659597777604</v>
      </c>
      <c r="M26" s="39">
        <v>39.43938511146052</v>
      </c>
      <c r="N26" s="40">
        <v>60.56061488853948</v>
      </c>
    </row>
    <row r="27" spans="1:14" s="11" customFormat="1" ht="15.75">
      <c r="A27" s="123" t="s">
        <v>8</v>
      </c>
      <c r="B27" s="20" t="s">
        <v>5</v>
      </c>
      <c r="C27" s="21">
        <v>13243</v>
      </c>
      <c r="D27" s="22">
        <v>2611</v>
      </c>
      <c r="E27" s="21">
        <v>3701</v>
      </c>
      <c r="F27" s="22">
        <v>1047</v>
      </c>
      <c r="G27" s="21">
        <v>4959</v>
      </c>
      <c r="H27" s="22">
        <v>2021</v>
      </c>
      <c r="I27" s="23">
        <v>21903</v>
      </c>
      <c r="J27" s="24">
        <v>5679</v>
      </c>
      <c r="K27" s="21">
        <v>5555</v>
      </c>
      <c r="L27" s="22">
        <v>294</v>
      </c>
      <c r="M27" s="23">
        <v>27458</v>
      </c>
      <c r="N27" s="24">
        <v>5973</v>
      </c>
    </row>
    <row r="28" spans="1:14" s="57" customFormat="1" ht="15">
      <c r="A28" s="121"/>
      <c r="B28" s="52" t="s">
        <v>6</v>
      </c>
      <c r="C28" s="53">
        <v>83.53097010218241</v>
      </c>
      <c r="D28" s="54">
        <v>16.469029897817585</v>
      </c>
      <c r="E28" s="53">
        <v>77.9486099410278</v>
      </c>
      <c r="F28" s="54">
        <v>22.0513900589722</v>
      </c>
      <c r="G28" s="53">
        <v>71.0458452722063</v>
      </c>
      <c r="H28" s="54">
        <v>28.954154727793696</v>
      </c>
      <c r="I28" s="55">
        <v>79.41048509897759</v>
      </c>
      <c r="J28" s="56">
        <v>20.589514901022408</v>
      </c>
      <c r="K28" s="53">
        <v>94.97349974354591</v>
      </c>
      <c r="L28" s="54">
        <v>5.026500256454095</v>
      </c>
      <c r="M28" s="55">
        <v>82.1333492865903</v>
      </c>
      <c r="N28" s="56">
        <v>17.866650713409708</v>
      </c>
    </row>
    <row r="29" spans="1:14" s="11" customFormat="1" ht="15.75">
      <c r="A29" s="121" t="s">
        <v>9</v>
      </c>
      <c r="B29" s="29" t="s">
        <v>5</v>
      </c>
      <c r="C29" s="30">
        <v>28993</v>
      </c>
      <c r="D29" s="27">
        <v>19160</v>
      </c>
      <c r="E29" s="30">
        <v>12841</v>
      </c>
      <c r="F29" s="27">
        <v>16359</v>
      </c>
      <c r="G29" s="30">
        <v>25698</v>
      </c>
      <c r="H29" s="27">
        <v>10521</v>
      </c>
      <c r="I29" s="30">
        <v>67532</v>
      </c>
      <c r="J29" s="27">
        <v>46040</v>
      </c>
      <c r="K29" s="30">
        <v>3838</v>
      </c>
      <c r="L29" s="27">
        <v>1684</v>
      </c>
      <c r="M29" s="30">
        <v>71370</v>
      </c>
      <c r="N29" s="27">
        <v>47724</v>
      </c>
    </row>
    <row r="30" spans="1:14" s="57" customFormat="1" ht="15">
      <c r="A30" s="121"/>
      <c r="B30" s="52" t="s">
        <v>6</v>
      </c>
      <c r="C30" s="53">
        <v>60.21016343737669</v>
      </c>
      <c r="D30" s="54">
        <v>39.78983656262331</v>
      </c>
      <c r="E30" s="53">
        <v>43.976027397260275</v>
      </c>
      <c r="F30" s="54">
        <v>56.023972602739725</v>
      </c>
      <c r="G30" s="53">
        <v>70.95171042822828</v>
      </c>
      <c r="H30" s="54">
        <v>29.048289571771726</v>
      </c>
      <c r="I30" s="55">
        <v>59.461839185714794</v>
      </c>
      <c r="J30" s="56">
        <v>40.53816081428521</v>
      </c>
      <c r="K30" s="53">
        <v>69.50380296993843</v>
      </c>
      <c r="L30" s="54">
        <v>30.496197030061573</v>
      </c>
      <c r="M30" s="55">
        <v>59.92745226459771</v>
      </c>
      <c r="N30" s="56">
        <v>40.07254773540229</v>
      </c>
    </row>
    <row r="31" spans="1:14" s="14" customFormat="1" ht="15.75">
      <c r="A31" s="121" t="s">
        <v>11</v>
      </c>
      <c r="B31" s="25" t="s">
        <v>5</v>
      </c>
      <c r="C31" s="41">
        <v>0</v>
      </c>
      <c r="D31" s="27">
        <v>66989</v>
      </c>
      <c r="E31" s="41">
        <v>0</v>
      </c>
      <c r="F31" s="27">
        <v>7477</v>
      </c>
      <c r="G31" s="41">
        <v>0</v>
      </c>
      <c r="H31" s="27">
        <v>16581</v>
      </c>
      <c r="I31" s="41">
        <v>0</v>
      </c>
      <c r="J31" s="27">
        <v>91047</v>
      </c>
      <c r="K31" s="41">
        <v>0</v>
      </c>
      <c r="L31" s="42">
        <v>1047</v>
      </c>
      <c r="M31" s="41">
        <v>0</v>
      </c>
      <c r="N31" s="42">
        <v>92094</v>
      </c>
    </row>
    <row r="32" spans="1:14" s="58" customFormat="1" ht="15">
      <c r="A32" s="121"/>
      <c r="B32" s="52" t="s">
        <v>6</v>
      </c>
      <c r="C32" s="53">
        <v>0</v>
      </c>
      <c r="D32" s="54">
        <v>100</v>
      </c>
      <c r="E32" s="53">
        <v>0</v>
      </c>
      <c r="F32" s="54">
        <v>100</v>
      </c>
      <c r="G32" s="53">
        <v>0</v>
      </c>
      <c r="H32" s="54">
        <v>100</v>
      </c>
      <c r="I32" s="55">
        <v>0</v>
      </c>
      <c r="J32" s="56">
        <v>100</v>
      </c>
      <c r="K32" s="53">
        <v>0</v>
      </c>
      <c r="L32" s="54">
        <v>100</v>
      </c>
      <c r="M32" s="55">
        <v>0</v>
      </c>
      <c r="N32" s="56">
        <v>100</v>
      </c>
    </row>
    <row r="33" spans="1:14" s="14" customFormat="1" ht="15.75">
      <c r="A33" s="121" t="s">
        <v>10</v>
      </c>
      <c r="B33" s="29" t="s">
        <v>5</v>
      </c>
      <c r="C33" s="41">
        <v>0</v>
      </c>
      <c r="D33" s="27">
        <v>2951</v>
      </c>
      <c r="E33" s="41">
        <v>0</v>
      </c>
      <c r="F33" s="27">
        <v>1441</v>
      </c>
      <c r="G33" s="41">
        <v>0</v>
      </c>
      <c r="H33" s="27">
        <v>1210</v>
      </c>
      <c r="I33" s="41">
        <v>0</v>
      </c>
      <c r="J33" s="27">
        <v>5602</v>
      </c>
      <c r="K33" s="41">
        <v>0</v>
      </c>
      <c r="L33" s="42">
        <v>361</v>
      </c>
      <c r="M33" s="41">
        <v>0</v>
      </c>
      <c r="N33" s="42">
        <v>5963</v>
      </c>
    </row>
    <row r="34" spans="1:14" s="58" customFormat="1" ht="15.75" thickBot="1">
      <c r="A34" s="122"/>
      <c r="B34" s="52" t="s">
        <v>6</v>
      </c>
      <c r="C34" s="59">
        <v>0</v>
      </c>
      <c r="D34" s="60">
        <v>100</v>
      </c>
      <c r="E34" s="59">
        <v>0</v>
      </c>
      <c r="F34" s="60">
        <v>100</v>
      </c>
      <c r="G34" s="59">
        <v>0</v>
      </c>
      <c r="H34" s="60">
        <v>100</v>
      </c>
      <c r="I34" s="55">
        <v>0</v>
      </c>
      <c r="J34" s="56">
        <v>100</v>
      </c>
      <c r="K34" s="59">
        <v>0</v>
      </c>
      <c r="L34" s="54">
        <v>100</v>
      </c>
      <c r="M34" s="55">
        <v>0</v>
      </c>
      <c r="N34" s="56">
        <v>100</v>
      </c>
    </row>
    <row r="35" spans="1:15" ht="15.75">
      <c r="A35" s="125">
        <v>2004</v>
      </c>
      <c r="B35" s="50" t="s">
        <v>5</v>
      </c>
      <c r="C35" s="16">
        <v>40520.56</v>
      </c>
      <c r="D35" s="17">
        <v>94001.44</v>
      </c>
      <c r="E35" s="16">
        <v>16764.93</v>
      </c>
      <c r="F35" s="17">
        <v>26831.07</v>
      </c>
      <c r="G35" s="16">
        <v>29845.28</v>
      </c>
      <c r="H35" s="17">
        <v>30803.72</v>
      </c>
      <c r="I35" s="16">
        <v>87130.77</v>
      </c>
      <c r="J35" s="17">
        <v>151636.23</v>
      </c>
      <c r="K35" s="21">
        <v>9256</v>
      </c>
      <c r="L35" s="22">
        <v>3735</v>
      </c>
      <c r="M35" s="21">
        <v>96386.77</v>
      </c>
      <c r="N35" s="22">
        <v>155371.23</v>
      </c>
      <c r="O35" s="3"/>
    </row>
    <row r="36" spans="1:14" ht="15.75" thickBot="1">
      <c r="A36" s="126"/>
      <c r="B36" s="51" t="s">
        <v>6</v>
      </c>
      <c r="C36" s="31">
        <v>30.121883409405154</v>
      </c>
      <c r="D36" s="32">
        <v>69.87811659059484</v>
      </c>
      <c r="E36" s="31">
        <v>38.45520231213873</v>
      </c>
      <c r="F36" s="32">
        <v>61.54479768786127</v>
      </c>
      <c r="G36" s="31">
        <v>49.20984682352553</v>
      </c>
      <c r="H36" s="32">
        <v>50.79015317647447</v>
      </c>
      <c r="I36" s="33">
        <v>36.49196497003354</v>
      </c>
      <c r="J36" s="34">
        <v>63.50803502996646</v>
      </c>
      <c r="K36" s="37">
        <v>71.24932645677777</v>
      </c>
      <c r="L36" s="38">
        <v>28.750673543222234</v>
      </c>
      <c r="M36" s="39">
        <v>38.28548447318456</v>
      </c>
      <c r="N36" s="40">
        <v>61.71451552681544</v>
      </c>
    </row>
    <row r="37" spans="1:14" s="11" customFormat="1" ht="15.75">
      <c r="A37" s="123" t="s">
        <v>8</v>
      </c>
      <c r="B37" s="20" t="s">
        <v>5</v>
      </c>
      <c r="C37" s="21">
        <v>13216.56</v>
      </c>
      <c r="D37" s="22">
        <v>2517.44</v>
      </c>
      <c r="E37" s="21">
        <v>3702.93</v>
      </c>
      <c r="F37" s="22">
        <v>1106.07</v>
      </c>
      <c r="G37" s="21">
        <v>4949.28</v>
      </c>
      <c r="H37" s="22">
        <v>1924.72</v>
      </c>
      <c r="I37" s="23">
        <v>21869</v>
      </c>
      <c r="J37" s="24">
        <v>5548</v>
      </c>
      <c r="K37" s="21">
        <v>5649</v>
      </c>
      <c r="L37" s="22">
        <v>361</v>
      </c>
      <c r="M37" s="23">
        <v>27518</v>
      </c>
      <c r="N37" s="24">
        <v>5909</v>
      </c>
    </row>
    <row r="38" spans="1:14" s="57" customFormat="1" ht="15">
      <c r="A38" s="121"/>
      <c r="B38" s="52" t="s">
        <v>6</v>
      </c>
      <c r="C38" s="53">
        <v>84</v>
      </c>
      <c r="D38" s="54">
        <v>16</v>
      </c>
      <c r="E38" s="53">
        <v>77</v>
      </c>
      <c r="F38" s="54">
        <v>23</v>
      </c>
      <c r="G38" s="53">
        <v>72</v>
      </c>
      <c r="H38" s="54">
        <v>28</v>
      </c>
      <c r="I38" s="55">
        <v>80</v>
      </c>
      <c r="J38" s="56">
        <v>20</v>
      </c>
      <c r="K38" s="53">
        <v>94</v>
      </c>
      <c r="L38" s="54">
        <v>6</v>
      </c>
      <c r="M38" s="55">
        <v>82</v>
      </c>
      <c r="N38" s="56">
        <v>18</v>
      </c>
    </row>
    <row r="39" spans="1:14" s="11" customFormat="1" ht="15.75">
      <c r="A39" s="121" t="s">
        <v>9</v>
      </c>
      <c r="B39" s="29" t="s">
        <v>5</v>
      </c>
      <c r="C39" s="30">
        <v>27304</v>
      </c>
      <c r="D39" s="27">
        <v>22340</v>
      </c>
      <c r="E39" s="30">
        <v>13062</v>
      </c>
      <c r="F39" s="27">
        <v>15965</v>
      </c>
      <c r="G39" s="30">
        <v>24896</v>
      </c>
      <c r="H39" s="27">
        <v>10670</v>
      </c>
      <c r="I39" s="30">
        <v>65263</v>
      </c>
      <c r="J39" s="27">
        <v>48974</v>
      </c>
      <c r="K39" s="30">
        <v>3607</v>
      </c>
      <c r="L39" s="27">
        <v>1942</v>
      </c>
      <c r="M39" s="30">
        <v>68869</v>
      </c>
      <c r="N39" s="27">
        <v>50917</v>
      </c>
    </row>
    <row r="40" spans="1:14" s="57" customFormat="1" ht="15">
      <c r="A40" s="121"/>
      <c r="B40" s="52" t="s">
        <v>6</v>
      </c>
      <c r="C40" s="53">
        <v>55</v>
      </c>
      <c r="D40" s="54">
        <v>45</v>
      </c>
      <c r="E40" s="53">
        <v>45</v>
      </c>
      <c r="F40" s="54">
        <v>55</v>
      </c>
      <c r="G40" s="53">
        <v>70</v>
      </c>
      <c r="H40" s="54">
        <v>30</v>
      </c>
      <c r="I40" s="55">
        <v>57</v>
      </c>
      <c r="J40" s="56">
        <v>43</v>
      </c>
      <c r="K40" s="53">
        <v>65</v>
      </c>
      <c r="L40" s="54">
        <v>35</v>
      </c>
      <c r="M40" s="55">
        <v>57</v>
      </c>
      <c r="N40" s="56">
        <v>43</v>
      </c>
    </row>
    <row r="41" spans="1:14" s="14" customFormat="1" ht="15.75">
      <c r="A41" s="121" t="s">
        <v>11</v>
      </c>
      <c r="B41" s="25" t="s">
        <v>5</v>
      </c>
      <c r="C41" s="41">
        <v>0</v>
      </c>
      <c r="D41" s="27">
        <v>67255</v>
      </c>
      <c r="E41" s="41">
        <v>0</v>
      </c>
      <c r="F41" s="27">
        <v>8168</v>
      </c>
      <c r="G41" s="41">
        <v>0</v>
      </c>
      <c r="H41" s="27">
        <v>17038</v>
      </c>
      <c r="I41" s="41">
        <v>0</v>
      </c>
      <c r="J41" s="27">
        <v>92461</v>
      </c>
      <c r="K41" s="41">
        <v>0</v>
      </c>
      <c r="L41" s="42">
        <v>1040</v>
      </c>
      <c r="M41" s="41">
        <v>0</v>
      </c>
      <c r="N41" s="42">
        <v>93501</v>
      </c>
    </row>
    <row r="42" spans="1:14" s="58" customFormat="1" ht="15">
      <c r="A42" s="121"/>
      <c r="B42" s="52" t="s">
        <v>6</v>
      </c>
      <c r="C42" s="53">
        <v>0</v>
      </c>
      <c r="D42" s="54">
        <v>100</v>
      </c>
      <c r="E42" s="53">
        <v>0</v>
      </c>
      <c r="F42" s="54">
        <v>100</v>
      </c>
      <c r="G42" s="53">
        <v>0</v>
      </c>
      <c r="H42" s="54">
        <v>100</v>
      </c>
      <c r="I42" s="55">
        <v>0</v>
      </c>
      <c r="J42" s="56">
        <v>100</v>
      </c>
      <c r="K42" s="53">
        <v>0</v>
      </c>
      <c r="L42" s="54">
        <v>100</v>
      </c>
      <c r="M42" s="55">
        <v>0</v>
      </c>
      <c r="N42" s="56">
        <v>100</v>
      </c>
    </row>
    <row r="43" spans="1:14" s="14" customFormat="1" ht="15.75">
      <c r="A43" s="121" t="s">
        <v>10</v>
      </c>
      <c r="B43" s="29" t="s">
        <v>5</v>
      </c>
      <c r="C43" s="41">
        <v>0</v>
      </c>
      <c r="D43" s="27">
        <v>1889</v>
      </c>
      <c r="E43" s="41">
        <v>0</v>
      </c>
      <c r="F43" s="27">
        <v>1592</v>
      </c>
      <c r="G43" s="41">
        <v>0</v>
      </c>
      <c r="H43" s="27">
        <v>1171</v>
      </c>
      <c r="I43" s="41">
        <v>0</v>
      </c>
      <c r="J43" s="27">
        <v>4652</v>
      </c>
      <c r="K43" s="41">
        <v>0</v>
      </c>
      <c r="L43" s="42">
        <v>392</v>
      </c>
      <c r="M43" s="41">
        <v>0</v>
      </c>
      <c r="N43" s="42">
        <v>5044</v>
      </c>
    </row>
    <row r="44" spans="1:14" s="58" customFormat="1" ht="15.75" thickBot="1">
      <c r="A44" s="122"/>
      <c r="B44" s="52" t="s">
        <v>6</v>
      </c>
      <c r="C44" s="59">
        <v>0</v>
      </c>
      <c r="D44" s="60">
        <v>100</v>
      </c>
      <c r="E44" s="59">
        <v>0</v>
      </c>
      <c r="F44" s="60">
        <v>100</v>
      </c>
      <c r="G44" s="59">
        <v>0</v>
      </c>
      <c r="H44" s="60">
        <v>100</v>
      </c>
      <c r="I44" s="55">
        <v>0</v>
      </c>
      <c r="J44" s="56">
        <v>100</v>
      </c>
      <c r="K44" s="59">
        <v>0</v>
      </c>
      <c r="L44" s="54">
        <v>100</v>
      </c>
      <c r="M44" s="55">
        <v>0</v>
      </c>
      <c r="N44" s="56">
        <v>100</v>
      </c>
    </row>
    <row r="45" spans="1:15" ht="15.75">
      <c r="A45" s="125">
        <v>2005</v>
      </c>
      <c r="B45" s="50" t="s">
        <v>5</v>
      </c>
      <c r="C45" s="16">
        <v>38330</v>
      </c>
      <c r="D45" s="17">
        <v>93797</v>
      </c>
      <c r="E45" s="16">
        <v>16159</v>
      </c>
      <c r="F45" s="17">
        <v>26593</v>
      </c>
      <c r="G45" s="16">
        <v>28505</v>
      </c>
      <c r="H45" s="17">
        <v>30613</v>
      </c>
      <c r="I45" s="16">
        <v>82994</v>
      </c>
      <c r="J45" s="17">
        <v>151003</v>
      </c>
      <c r="K45" s="21">
        <v>10219</v>
      </c>
      <c r="L45" s="22">
        <v>4464</v>
      </c>
      <c r="M45" s="21">
        <v>93213</v>
      </c>
      <c r="N45" s="22">
        <v>155467</v>
      </c>
      <c r="O45" s="3"/>
    </row>
    <row r="46" spans="1:14" ht="15.75" thickBot="1">
      <c r="A46" s="126"/>
      <c r="B46" s="51" t="s">
        <v>6</v>
      </c>
      <c r="C46" s="31">
        <v>29.0099676826084</v>
      </c>
      <c r="D46" s="32">
        <v>70.9900323173916</v>
      </c>
      <c r="E46" s="31">
        <v>37.7970621257485</v>
      </c>
      <c r="F46" s="32">
        <v>62.2029378742515</v>
      </c>
      <c r="G46" s="31">
        <v>48.217125071890116</v>
      </c>
      <c r="H46" s="32">
        <v>51.782874928109884</v>
      </c>
      <c r="I46" s="33">
        <v>35.467976085163485</v>
      </c>
      <c r="J46" s="34">
        <v>64.53202391483651</v>
      </c>
      <c r="K46" s="37">
        <v>69.5974937001975</v>
      </c>
      <c r="L46" s="38">
        <v>30.402506299802496</v>
      </c>
      <c r="M46" s="39">
        <v>37.48311082515683</v>
      </c>
      <c r="N46" s="40">
        <v>62.51688917484317</v>
      </c>
    </row>
    <row r="47" spans="1:14" s="11" customFormat="1" ht="15.75">
      <c r="A47" s="123" t="s">
        <v>8</v>
      </c>
      <c r="B47" s="20" t="s">
        <v>5</v>
      </c>
      <c r="C47" s="21">
        <v>13038</v>
      </c>
      <c r="D47" s="22">
        <v>2623</v>
      </c>
      <c r="E47" s="21">
        <v>3711</v>
      </c>
      <c r="F47" s="22">
        <v>1173</v>
      </c>
      <c r="G47" s="21">
        <v>4951</v>
      </c>
      <c r="H47" s="22">
        <v>1925</v>
      </c>
      <c r="I47" s="23">
        <v>21700</v>
      </c>
      <c r="J47" s="24">
        <v>5721</v>
      </c>
      <c r="K47" s="21">
        <v>5764</v>
      </c>
      <c r="L47" s="22">
        <v>431</v>
      </c>
      <c r="M47" s="23">
        <v>27464</v>
      </c>
      <c r="N47" s="24">
        <v>6152</v>
      </c>
    </row>
    <row r="48" spans="1:14" s="57" customFormat="1" ht="15">
      <c r="A48" s="121"/>
      <c r="B48" s="52" t="s">
        <v>6</v>
      </c>
      <c r="C48" s="53">
        <v>83.25138880020432</v>
      </c>
      <c r="D48" s="54">
        <v>16.748611199795672</v>
      </c>
      <c r="E48" s="53">
        <v>75.98280098280098</v>
      </c>
      <c r="F48" s="54">
        <v>24.01719901719902</v>
      </c>
      <c r="G48" s="53">
        <v>72.00407213496219</v>
      </c>
      <c r="H48" s="54">
        <v>27.99592786503781</v>
      </c>
      <c r="I48" s="55">
        <v>79.13642828489115</v>
      </c>
      <c r="J48" s="56">
        <v>20.863571715108858</v>
      </c>
      <c r="K48" s="53">
        <v>93.04277643260694</v>
      </c>
      <c r="L48" s="54">
        <v>6.957223567393059</v>
      </c>
      <c r="M48" s="55">
        <v>81.69919086149453</v>
      </c>
      <c r="N48" s="56">
        <v>18.300809138505475</v>
      </c>
    </row>
    <row r="49" spans="1:14" s="11" customFormat="1" ht="15.75">
      <c r="A49" s="121" t="s">
        <v>9</v>
      </c>
      <c r="B49" s="29" t="s">
        <v>5</v>
      </c>
      <c r="C49" s="30">
        <v>25292</v>
      </c>
      <c r="D49" s="27">
        <v>21949</v>
      </c>
      <c r="E49" s="30">
        <v>12448</v>
      </c>
      <c r="F49" s="27">
        <v>15742</v>
      </c>
      <c r="G49" s="30">
        <v>23554</v>
      </c>
      <c r="H49" s="27">
        <v>11351</v>
      </c>
      <c r="I49" s="30">
        <v>61294</v>
      </c>
      <c r="J49" s="27">
        <v>49042</v>
      </c>
      <c r="K49" s="30">
        <v>4455</v>
      </c>
      <c r="L49" s="27">
        <v>2546</v>
      </c>
      <c r="M49" s="30">
        <v>65749</v>
      </c>
      <c r="N49" s="27">
        <v>51588</v>
      </c>
    </row>
    <row r="50" spans="1:14" s="57" customFormat="1" ht="15">
      <c r="A50" s="121"/>
      <c r="B50" s="52" t="s">
        <v>6</v>
      </c>
      <c r="C50" s="53">
        <v>53.5382400880591</v>
      </c>
      <c r="D50" s="54">
        <v>46.461759911940895</v>
      </c>
      <c r="E50" s="53">
        <v>44.15750266051791</v>
      </c>
      <c r="F50" s="54">
        <v>55.84249733948209</v>
      </c>
      <c r="G50" s="53">
        <v>67.48030368142099</v>
      </c>
      <c r="H50" s="54">
        <v>32.519696318579</v>
      </c>
      <c r="I50" s="55">
        <v>55.55213167053365</v>
      </c>
      <c r="J50" s="56">
        <v>44.44786832946635</v>
      </c>
      <c r="K50" s="53">
        <v>63.63376660477075</v>
      </c>
      <c r="L50" s="54">
        <v>36.36623339522925</v>
      </c>
      <c r="M50" s="55">
        <v>56.03432847268978</v>
      </c>
      <c r="N50" s="56">
        <v>43.96567152731022</v>
      </c>
    </row>
    <row r="51" spans="1:14" s="14" customFormat="1" ht="15.75">
      <c r="A51" s="121" t="s">
        <v>11</v>
      </c>
      <c r="B51" s="25" t="s">
        <v>5</v>
      </c>
      <c r="C51" s="41">
        <v>0</v>
      </c>
      <c r="D51" s="27">
        <v>67594</v>
      </c>
      <c r="E51" s="41">
        <v>0</v>
      </c>
      <c r="F51" s="27">
        <v>8309</v>
      </c>
      <c r="G51" s="41">
        <v>0</v>
      </c>
      <c r="H51" s="27">
        <v>16336</v>
      </c>
      <c r="I51" s="41">
        <v>0</v>
      </c>
      <c r="J51" s="27">
        <v>92239</v>
      </c>
      <c r="K51" s="41">
        <v>0</v>
      </c>
      <c r="L51" s="42">
        <v>1084</v>
      </c>
      <c r="M51" s="41">
        <v>0</v>
      </c>
      <c r="N51" s="42">
        <v>93323</v>
      </c>
    </row>
    <row r="52" spans="1:14" s="58" customFormat="1" ht="15">
      <c r="A52" s="121"/>
      <c r="B52" s="52" t="s">
        <v>6</v>
      </c>
      <c r="C52" s="53">
        <v>0</v>
      </c>
      <c r="D52" s="54">
        <v>100</v>
      </c>
      <c r="E52" s="53">
        <v>0</v>
      </c>
      <c r="F52" s="54">
        <v>100</v>
      </c>
      <c r="G52" s="53">
        <v>0</v>
      </c>
      <c r="H52" s="54">
        <v>100</v>
      </c>
      <c r="I52" s="55">
        <v>0</v>
      </c>
      <c r="J52" s="56">
        <v>100</v>
      </c>
      <c r="K52" s="53">
        <v>0</v>
      </c>
      <c r="L52" s="54">
        <v>100</v>
      </c>
      <c r="M52" s="55">
        <v>0</v>
      </c>
      <c r="N52" s="56">
        <v>100</v>
      </c>
    </row>
    <row r="53" spans="1:14" s="14" customFormat="1" ht="15.75">
      <c r="A53" s="121" t="s">
        <v>10</v>
      </c>
      <c r="B53" s="29" t="s">
        <v>5</v>
      </c>
      <c r="C53" s="41">
        <v>0</v>
      </c>
      <c r="D53" s="27">
        <v>1631</v>
      </c>
      <c r="E53" s="41">
        <v>0</v>
      </c>
      <c r="F53" s="27">
        <v>1369</v>
      </c>
      <c r="G53" s="41">
        <v>0</v>
      </c>
      <c r="H53" s="27">
        <v>1001</v>
      </c>
      <c r="I53" s="41">
        <v>0</v>
      </c>
      <c r="J53" s="27">
        <v>4001</v>
      </c>
      <c r="K53" s="41">
        <v>0</v>
      </c>
      <c r="L53" s="42">
        <v>403</v>
      </c>
      <c r="M53" s="41">
        <v>0</v>
      </c>
      <c r="N53" s="42">
        <v>4404</v>
      </c>
    </row>
    <row r="54" spans="1:14" s="58" customFormat="1" ht="15.75" thickBot="1">
      <c r="A54" s="122"/>
      <c r="B54" s="52" t="s">
        <v>6</v>
      </c>
      <c r="C54" s="59">
        <v>0</v>
      </c>
      <c r="D54" s="60">
        <v>100</v>
      </c>
      <c r="E54" s="59">
        <v>0</v>
      </c>
      <c r="F54" s="60">
        <v>100</v>
      </c>
      <c r="G54" s="59">
        <v>0</v>
      </c>
      <c r="H54" s="60">
        <v>100</v>
      </c>
      <c r="I54" s="55">
        <v>0</v>
      </c>
      <c r="J54" s="56">
        <v>100</v>
      </c>
      <c r="K54" s="59">
        <v>0</v>
      </c>
      <c r="L54" s="54">
        <v>100</v>
      </c>
      <c r="M54" s="55">
        <v>0</v>
      </c>
      <c r="N54" s="56">
        <v>100</v>
      </c>
    </row>
    <row r="55" spans="1:15" ht="15.75">
      <c r="A55" s="125">
        <v>2006</v>
      </c>
      <c r="B55" s="50" t="s">
        <v>5</v>
      </c>
      <c r="C55" s="16">
        <v>38940</v>
      </c>
      <c r="D55" s="17">
        <v>93268</v>
      </c>
      <c r="E55" s="16">
        <v>17261</v>
      </c>
      <c r="F55" s="17">
        <v>26088</v>
      </c>
      <c r="G55" s="16">
        <v>28410</v>
      </c>
      <c r="H55" s="17">
        <v>31781</v>
      </c>
      <c r="I55" s="16">
        <v>84611</v>
      </c>
      <c r="J55" s="17">
        <v>151137</v>
      </c>
      <c r="K55" s="21">
        <v>8574</v>
      </c>
      <c r="L55" s="22">
        <v>4884</v>
      </c>
      <c r="M55" s="21">
        <v>93185</v>
      </c>
      <c r="N55" s="22">
        <v>156021</v>
      </c>
      <c r="O55" s="3"/>
    </row>
    <row r="56" spans="1:14" ht="15.75" thickBot="1">
      <c r="A56" s="126"/>
      <c r="B56" s="51" t="s">
        <v>6</v>
      </c>
      <c r="C56" s="31">
        <v>29.453588285126468</v>
      </c>
      <c r="D56" s="32">
        <v>70.54641171487353</v>
      </c>
      <c r="E56" s="31">
        <v>39.81868093842995</v>
      </c>
      <c r="F56" s="32">
        <v>60.18131906157005</v>
      </c>
      <c r="G56" s="31">
        <v>47.199747470552076</v>
      </c>
      <c r="H56" s="32">
        <v>52.800252529447924</v>
      </c>
      <c r="I56" s="33">
        <v>35.89044233673244</v>
      </c>
      <c r="J56" s="34">
        <v>64.10955766326757</v>
      </c>
      <c r="K56" s="37">
        <v>63.709317877842174</v>
      </c>
      <c r="L56" s="38">
        <v>36.290682122157826</v>
      </c>
      <c r="M56" s="39">
        <v>37.392759403866684</v>
      </c>
      <c r="N56" s="40">
        <v>62.607240596133316</v>
      </c>
    </row>
    <row r="57" spans="1:14" s="11" customFormat="1" ht="15.75">
      <c r="A57" s="123" t="s">
        <v>8</v>
      </c>
      <c r="B57" s="20" t="s">
        <v>5</v>
      </c>
      <c r="C57" s="21">
        <v>13360</v>
      </c>
      <c r="D57" s="22">
        <v>3065</v>
      </c>
      <c r="E57" s="21">
        <v>4093</v>
      </c>
      <c r="F57" s="22">
        <v>1200</v>
      </c>
      <c r="G57" s="21">
        <v>4979</v>
      </c>
      <c r="H57" s="22">
        <v>2526</v>
      </c>
      <c r="I57" s="23">
        <v>22432</v>
      </c>
      <c r="J57" s="24">
        <v>6791</v>
      </c>
      <c r="K57" s="21">
        <v>5258</v>
      </c>
      <c r="L57" s="22">
        <v>1323</v>
      </c>
      <c r="M57" s="23">
        <v>27690</v>
      </c>
      <c r="N57" s="24">
        <v>8114</v>
      </c>
    </row>
    <row r="58" spans="1:14" s="57" customFormat="1" ht="15">
      <c r="A58" s="121"/>
      <c r="B58" s="52" t="s">
        <v>6</v>
      </c>
      <c r="C58" s="53">
        <v>81.33942161339421</v>
      </c>
      <c r="D58" s="54">
        <v>18.660578386605785</v>
      </c>
      <c r="E58" s="53">
        <v>77.32854713772907</v>
      </c>
      <c r="F58" s="54">
        <v>22.671452862270925</v>
      </c>
      <c r="G58" s="53">
        <v>66.34243837441706</v>
      </c>
      <c r="H58" s="54">
        <v>33.65756162558294</v>
      </c>
      <c r="I58" s="55">
        <v>76.7614550183075</v>
      </c>
      <c r="J58" s="56">
        <v>23.238544981692502</v>
      </c>
      <c r="K58" s="53">
        <v>79.89667223826167</v>
      </c>
      <c r="L58" s="54">
        <v>20.10332776173834</v>
      </c>
      <c r="M58" s="55">
        <v>77.33772762819797</v>
      </c>
      <c r="N58" s="56">
        <v>22.662272371802032</v>
      </c>
    </row>
    <row r="59" spans="1:14" s="11" customFormat="1" ht="15.75">
      <c r="A59" s="121" t="s">
        <v>9</v>
      </c>
      <c r="B59" s="29" t="s">
        <v>5</v>
      </c>
      <c r="C59" s="30">
        <v>25580</v>
      </c>
      <c r="D59" s="27">
        <v>21802</v>
      </c>
      <c r="E59" s="30">
        <v>13168</v>
      </c>
      <c r="F59" s="27">
        <v>15337</v>
      </c>
      <c r="G59" s="30">
        <v>23431</v>
      </c>
      <c r="H59" s="27">
        <v>11171</v>
      </c>
      <c r="I59" s="30">
        <v>62179</v>
      </c>
      <c r="J59" s="27">
        <v>48310</v>
      </c>
      <c r="K59" s="30">
        <v>3316</v>
      </c>
      <c r="L59" s="27">
        <v>2132</v>
      </c>
      <c r="M59" s="30">
        <v>65495</v>
      </c>
      <c r="N59" s="27">
        <v>50442</v>
      </c>
    </row>
    <row r="60" spans="1:14" s="57" customFormat="1" ht="15">
      <c r="A60" s="121"/>
      <c r="B60" s="52" t="s">
        <v>6</v>
      </c>
      <c r="C60" s="53">
        <v>53.98674602169601</v>
      </c>
      <c r="D60" s="54">
        <v>46.013253978304</v>
      </c>
      <c r="E60" s="53">
        <v>46.19540431503245</v>
      </c>
      <c r="F60" s="54">
        <v>53.80459568496755</v>
      </c>
      <c r="G60" s="53">
        <v>67.71573897462574</v>
      </c>
      <c r="H60" s="54">
        <v>32.284261025374256</v>
      </c>
      <c r="I60" s="55">
        <v>56.27619038999357</v>
      </c>
      <c r="J60" s="56">
        <v>43.72380961000643</v>
      </c>
      <c r="K60" s="53">
        <v>60.86637298091042</v>
      </c>
      <c r="L60" s="54">
        <v>39.13362701908957</v>
      </c>
      <c r="M60" s="55">
        <v>56.49188783563487</v>
      </c>
      <c r="N60" s="56">
        <v>43.50811216436513</v>
      </c>
    </row>
    <row r="61" spans="1:14" s="14" customFormat="1" ht="15.75">
      <c r="A61" s="121" t="s">
        <v>11</v>
      </c>
      <c r="B61" s="25" t="s">
        <v>5</v>
      </c>
      <c r="C61" s="41">
        <v>0</v>
      </c>
      <c r="D61" s="27">
        <v>66649</v>
      </c>
      <c r="E61" s="41">
        <v>0</v>
      </c>
      <c r="F61" s="27">
        <v>8182</v>
      </c>
      <c r="G61" s="41">
        <v>0</v>
      </c>
      <c r="H61" s="27">
        <v>17154</v>
      </c>
      <c r="I61" s="41">
        <v>0</v>
      </c>
      <c r="J61" s="27">
        <v>91985</v>
      </c>
      <c r="K61" s="41">
        <v>0</v>
      </c>
      <c r="L61" s="42">
        <v>1062</v>
      </c>
      <c r="M61" s="41">
        <v>0</v>
      </c>
      <c r="N61" s="42">
        <v>93047</v>
      </c>
    </row>
    <row r="62" spans="1:14" s="58" customFormat="1" ht="15">
      <c r="A62" s="121"/>
      <c r="B62" s="52" t="s">
        <v>6</v>
      </c>
      <c r="C62" s="53">
        <v>0</v>
      </c>
      <c r="D62" s="54">
        <v>100</v>
      </c>
      <c r="E62" s="53">
        <v>0</v>
      </c>
      <c r="F62" s="54">
        <v>100</v>
      </c>
      <c r="G62" s="53">
        <v>0</v>
      </c>
      <c r="H62" s="54">
        <v>100</v>
      </c>
      <c r="I62" s="55">
        <v>0</v>
      </c>
      <c r="J62" s="56">
        <v>100</v>
      </c>
      <c r="K62" s="53">
        <v>0</v>
      </c>
      <c r="L62" s="54">
        <v>100</v>
      </c>
      <c r="M62" s="55">
        <v>0</v>
      </c>
      <c r="N62" s="56">
        <v>100</v>
      </c>
    </row>
    <row r="63" spans="1:14" s="14" customFormat="1" ht="15.75">
      <c r="A63" s="121" t="s">
        <v>10</v>
      </c>
      <c r="B63" s="29" t="s">
        <v>5</v>
      </c>
      <c r="C63" s="41">
        <v>0</v>
      </c>
      <c r="D63" s="27">
        <v>1752</v>
      </c>
      <c r="E63" s="41">
        <v>0</v>
      </c>
      <c r="F63" s="27">
        <v>1369</v>
      </c>
      <c r="G63" s="41">
        <v>0</v>
      </c>
      <c r="H63" s="27">
        <v>930</v>
      </c>
      <c r="I63" s="41">
        <v>0</v>
      </c>
      <c r="J63" s="27">
        <v>4051</v>
      </c>
      <c r="K63" s="41">
        <v>0</v>
      </c>
      <c r="L63" s="42">
        <v>367</v>
      </c>
      <c r="M63" s="41">
        <v>0</v>
      </c>
      <c r="N63" s="42">
        <v>4418</v>
      </c>
    </row>
    <row r="64" spans="1:14" s="58" customFormat="1" ht="15.75" thickBot="1">
      <c r="A64" s="122"/>
      <c r="B64" s="52" t="s">
        <v>6</v>
      </c>
      <c r="C64" s="59">
        <v>0</v>
      </c>
      <c r="D64" s="60">
        <v>100</v>
      </c>
      <c r="E64" s="59">
        <v>0</v>
      </c>
      <c r="F64" s="60">
        <v>100</v>
      </c>
      <c r="G64" s="59">
        <v>0</v>
      </c>
      <c r="H64" s="60">
        <v>100</v>
      </c>
      <c r="I64" s="55">
        <v>0</v>
      </c>
      <c r="J64" s="56">
        <v>100</v>
      </c>
      <c r="K64" s="59">
        <v>0</v>
      </c>
      <c r="L64" s="54">
        <v>100</v>
      </c>
      <c r="M64" s="55">
        <v>0</v>
      </c>
      <c r="N64" s="56">
        <v>100</v>
      </c>
    </row>
    <row r="65" spans="1:15" ht="15.75">
      <c r="A65" s="125">
        <v>2007</v>
      </c>
      <c r="B65" s="50" t="s">
        <v>5</v>
      </c>
      <c r="C65" s="16">
        <v>39272</v>
      </c>
      <c r="D65" s="17">
        <v>93167</v>
      </c>
      <c r="E65" s="16">
        <v>15771</v>
      </c>
      <c r="F65" s="17">
        <v>26085</v>
      </c>
      <c r="G65" s="16">
        <v>27222</v>
      </c>
      <c r="H65" s="17">
        <v>30467</v>
      </c>
      <c r="I65" s="16">
        <v>82265</v>
      </c>
      <c r="J65" s="17">
        <v>149719</v>
      </c>
      <c r="K65" s="21">
        <v>8845</v>
      </c>
      <c r="L65" s="22">
        <v>4905</v>
      </c>
      <c r="M65" s="21">
        <v>91110</v>
      </c>
      <c r="N65" s="22">
        <v>154624</v>
      </c>
      <c r="O65" s="3"/>
    </row>
    <row r="66" spans="1:14" ht="15.75" thickBot="1">
      <c r="A66" s="126"/>
      <c r="B66" s="51" t="s">
        <v>6</v>
      </c>
      <c r="C66" s="31">
        <v>29.652896805321692</v>
      </c>
      <c r="D66" s="32">
        <v>70.34710319467831</v>
      </c>
      <c r="E66" s="31">
        <v>37.679185779816514</v>
      </c>
      <c r="F66" s="32">
        <v>62.320814220183486</v>
      </c>
      <c r="G66" s="31">
        <v>47.18750541697724</v>
      </c>
      <c r="H66" s="32">
        <v>52.81249458302276</v>
      </c>
      <c r="I66" s="33">
        <v>35.461497344644464</v>
      </c>
      <c r="J66" s="34">
        <v>64.53850265535553</v>
      </c>
      <c r="K66" s="37">
        <v>64.32727272727273</v>
      </c>
      <c r="L66" s="38">
        <v>35.67272727272727</v>
      </c>
      <c r="M66" s="39">
        <v>37.07667640619532</v>
      </c>
      <c r="N66" s="40">
        <v>62.92332359380468</v>
      </c>
    </row>
    <row r="67" spans="1:14" s="11" customFormat="1" ht="15.75">
      <c r="A67" s="123" t="s">
        <v>8</v>
      </c>
      <c r="B67" s="20" t="s">
        <v>5</v>
      </c>
      <c r="C67" s="21">
        <v>13424</v>
      </c>
      <c r="D67" s="22">
        <v>2926</v>
      </c>
      <c r="E67" s="21">
        <v>3963</v>
      </c>
      <c r="F67" s="22">
        <v>1178</v>
      </c>
      <c r="G67" s="21">
        <v>5026</v>
      </c>
      <c r="H67" s="22">
        <v>2594</v>
      </c>
      <c r="I67" s="23">
        <v>22413</v>
      </c>
      <c r="J67" s="24">
        <v>6698</v>
      </c>
      <c r="K67" s="21">
        <v>5322</v>
      </c>
      <c r="L67" s="22">
        <v>1415</v>
      </c>
      <c r="M67" s="23">
        <v>27735</v>
      </c>
      <c r="N67" s="24">
        <v>8113</v>
      </c>
    </row>
    <row r="68" spans="1:14" s="57" customFormat="1" ht="15">
      <c r="A68" s="121"/>
      <c r="B68" s="52" t="s">
        <v>6</v>
      </c>
      <c r="C68" s="53">
        <v>82.10397553516819</v>
      </c>
      <c r="D68" s="54">
        <v>17.896024464831804</v>
      </c>
      <c r="E68" s="53">
        <v>77.08617000583544</v>
      </c>
      <c r="F68" s="54">
        <v>22.91382999416456</v>
      </c>
      <c r="G68" s="53">
        <v>65.95800524934383</v>
      </c>
      <c r="H68" s="54">
        <v>34.041994750656166</v>
      </c>
      <c r="I68" s="55">
        <v>76.99151523479098</v>
      </c>
      <c r="J68" s="56">
        <v>23.00848476520903</v>
      </c>
      <c r="K68" s="53">
        <v>78.99658601751521</v>
      </c>
      <c r="L68" s="54">
        <v>21.003413982484787</v>
      </c>
      <c r="M68" s="55">
        <v>77.36833296139255</v>
      </c>
      <c r="N68" s="56">
        <v>22.631667038607453</v>
      </c>
    </row>
    <row r="69" spans="1:14" s="11" customFormat="1" ht="15.75">
      <c r="A69" s="121" t="s">
        <v>9</v>
      </c>
      <c r="B69" s="29" t="s">
        <v>5</v>
      </c>
      <c r="C69" s="30">
        <v>25848</v>
      </c>
      <c r="D69" s="27">
        <v>21163</v>
      </c>
      <c r="E69" s="30">
        <v>11808</v>
      </c>
      <c r="F69" s="27">
        <v>15543</v>
      </c>
      <c r="G69" s="30">
        <v>22196</v>
      </c>
      <c r="H69" s="27">
        <v>11786</v>
      </c>
      <c r="I69" s="30">
        <v>59852</v>
      </c>
      <c r="J69" s="27">
        <v>48492</v>
      </c>
      <c r="K69" s="30">
        <v>3523</v>
      </c>
      <c r="L69" s="27">
        <v>2115</v>
      </c>
      <c r="M69" s="30">
        <v>63375</v>
      </c>
      <c r="N69" s="27">
        <v>50607</v>
      </c>
    </row>
    <row r="70" spans="1:14" s="57" customFormat="1" ht="15">
      <c r="A70" s="121"/>
      <c r="B70" s="52" t="s">
        <v>6</v>
      </c>
      <c r="C70" s="53">
        <v>54.98287634808875</v>
      </c>
      <c r="D70" s="54">
        <v>45.017123651911255</v>
      </c>
      <c r="E70" s="53">
        <v>43.172096084238234</v>
      </c>
      <c r="F70" s="54">
        <v>56.827903915761766</v>
      </c>
      <c r="G70" s="53">
        <v>65.31693249367312</v>
      </c>
      <c r="H70" s="54">
        <v>34.68306750632688</v>
      </c>
      <c r="I70" s="55">
        <v>55.24256073248173</v>
      </c>
      <c r="J70" s="56">
        <v>44.75743926751827</v>
      </c>
      <c r="K70" s="53">
        <v>62.48669741042923</v>
      </c>
      <c r="L70" s="54">
        <v>37.51330258957077</v>
      </c>
      <c r="M70" s="55">
        <v>55.60088435016055</v>
      </c>
      <c r="N70" s="56">
        <v>44.39911564983945</v>
      </c>
    </row>
    <row r="71" spans="1:14" s="14" customFormat="1" ht="15.75">
      <c r="A71" s="121" t="s">
        <v>11</v>
      </c>
      <c r="B71" s="25" t="s">
        <v>5</v>
      </c>
      <c r="C71" s="41">
        <v>0</v>
      </c>
      <c r="D71" s="27">
        <v>67173</v>
      </c>
      <c r="E71" s="41">
        <v>0</v>
      </c>
      <c r="F71" s="27">
        <v>8036</v>
      </c>
      <c r="G71" s="41">
        <v>0</v>
      </c>
      <c r="H71" s="27">
        <v>15493</v>
      </c>
      <c r="I71" s="41">
        <v>0</v>
      </c>
      <c r="J71" s="27">
        <v>90702</v>
      </c>
      <c r="K71" s="41">
        <v>0</v>
      </c>
      <c r="L71" s="42">
        <v>1022</v>
      </c>
      <c r="M71" s="41">
        <v>0</v>
      </c>
      <c r="N71" s="42">
        <v>91724</v>
      </c>
    </row>
    <row r="72" spans="1:14" s="58" customFormat="1" ht="15">
      <c r="A72" s="121"/>
      <c r="B72" s="52" t="s">
        <v>6</v>
      </c>
      <c r="C72" s="53">
        <v>0</v>
      </c>
      <c r="D72" s="54">
        <v>100</v>
      </c>
      <c r="E72" s="53">
        <v>0</v>
      </c>
      <c r="F72" s="54">
        <v>100</v>
      </c>
      <c r="G72" s="53">
        <v>0</v>
      </c>
      <c r="H72" s="54">
        <v>100</v>
      </c>
      <c r="I72" s="55">
        <v>0</v>
      </c>
      <c r="J72" s="56">
        <v>100</v>
      </c>
      <c r="K72" s="53">
        <v>0</v>
      </c>
      <c r="L72" s="54">
        <v>100</v>
      </c>
      <c r="M72" s="55">
        <v>0</v>
      </c>
      <c r="N72" s="56">
        <v>100</v>
      </c>
    </row>
    <row r="73" spans="1:14" s="14" customFormat="1" ht="15.75">
      <c r="A73" s="121" t="s">
        <v>10</v>
      </c>
      <c r="B73" s="29" t="s">
        <v>5</v>
      </c>
      <c r="C73" s="41">
        <v>0</v>
      </c>
      <c r="D73" s="27">
        <v>1905</v>
      </c>
      <c r="E73" s="41">
        <v>0</v>
      </c>
      <c r="F73" s="27">
        <v>1328</v>
      </c>
      <c r="G73" s="41">
        <v>0</v>
      </c>
      <c r="H73" s="27">
        <v>594</v>
      </c>
      <c r="I73" s="41">
        <v>0</v>
      </c>
      <c r="J73" s="27">
        <v>3827</v>
      </c>
      <c r="K73" s="41">
        <v>0</v>
      </c>
      <c r="L73" s="42">
        <v>353</v>
      </c>
      <c r="M73" s="41">
        <v>0</v>
      </c>
      <c r="N73" s="42">
        <v>4180</v>
      </c>
    </row>
    <row r="74" spans="1:14" s="58" customFormat="1" ht="15.75" thickBot="1">
      <c r="A74" s="122"/>
      <c r="B74" s="52" t="s">
        <v>6</v>
      </c>
      <c r="C74" s="59">
        <v>0</v>
      </c>
      <c r="D74" s="60">
        <v>100</v>
      </c>
      <c r="E74" s="59">
        <v>0</v>
      </c>
      <c r="F74" s="60">
        <v>100</v>
      </c>
      <c r="G74" s="59">
        <v>0</v>
      </c>
      <c r="H74" s="60">
        <v>100</v>
      </c>
      <c r="I74" s="55">
        <v>0</v>
      </c>
      <c r="J74" s="56">
        <v>100</v>
      </c>
      <c r="K74" s="59">
        <v>0</v>
      </c>
      <c r="L74" s="54">
        <v>100</v>
      </c>
      <c r="M74" s="55">
        <v>0</v>
      </c>
      <c r="N74" s="56">
        <v>100</v>
      </c>
    </row>
    <row r="75" spans="1:15" ht="15.75">
      <c r="A75" s="125">
        <v>2008</v>
      </c>
      <c r="B75" s="50" t="s">
        <v>5</v>
      </c>
      <c r="C75" s="16">
        <v>37904</v>
      </c>
      <c r="D75" s="17">
        <v>93519</v>
      </c>
      <c r="E75" s="16">
        <v>15588</v>
      </c>
      <c r="F75" s="17">
        <v>25356</v>
      </c>
      <c r="G75" s="16">
        <v>26369</v>
      </c>
      <c r="H75" s="17">
        <v>29858</v>
      </c>
      <c r="I75" s="16">
        <v>79861</v>
      </c>
      <c r="J75" s="17">
        <v>148733</v>
      </c>
      <c r="K75" s="21">
        <v>8903</v>
      </c>
      <c r="L75" s="22">
        <v>4654</v>
      </c>
      <c r="M75" s="21">
        <v>88764</v>
      </c>
      <c r="N75" s="22">
        <v>153387</v>
      </c>
      <c r="O75" s="3"/>
    </row>
    <row r="76" spans="1:14" ht="15.75" thickBot="1">
      <c r="A76" s="126"/>
      <c r="B76" s="51" t="s">
        <v>6</v>
      </c>
      <c r="C76" s="31">
        <v>28.841222617045727</v>
      </c>
      <c r="D76" s="32">
        <v>71.15877738295427</v>
      </c>
      <c r="E76" s="31">
        <v>38.071512309495894</v>
      </c>
      <c r="F76" s="32">
        <v>61.928487690504106</v>
      </c>
      <c r="G76" s="31">
        <v>46.89739804720152</v>
      </c>
      <c r="H76" s="32">
        <v>53.10260195279848</v>
      </c>
      <c r="I76" s="33">
        <v>34.9357375959124</v>
      </c>
      <c r="J76" s="34">
        <v>65.0642624040876</v>
      </c>
      <c r="K76" s="37">
        <v>65.67087113668215</v>
      </c>
      <c r="L76" s="38">
        <v>34.32912886331785</v>
      </c>
      <c r="M76" s="39">
        <v>36.65646641971332</v>
      </c>
      <c r="N76" s="40">
        <v>63.34353358028668</v>
      </c>
    </row>
    <row r="77" spans="1:14" s="11" customFormat="1" ht="15.75">
      <c r="A77" s="123" t="s">
        <v>8</v>
      </c>
      <c r="B77" s="20" t="s">
        <v>5</v>
      </c>
      <c r="C77" s="21">
        <v>13240</v>
      </c>
      <c r="D77" s="22">
        <v>3094</v>
      </c>
      <c r="E77" s="21">
        <v>3962</v>
      </c>
      <c r="F77" s="22">
        <v>1196</v>
      </c>
      <c r="G77" s="21">
        <v>5022</v>
      </c>
      <c r="H77" s="22">
        <v>2518</v>
      </c>
      <c r="I77" s="23">
        <v>22224</v>
      </c>
      <c r="J77" s="24">
        <v>6808</v>
      </c>
      <c r="K77" s="21">
        <v>5232</v>
      </c>
      <c r="L77" s="22">
        <v>1398</v>
      </c>
      <c r="M77" s="23">
        <v>27456</v>
      </c>
      <c r="N77" s="24">
        <v>8206</v>
      </c>
    </row>
    <row r="78" spans="1:14" s="57" customFormat="1" ht="15">
      <c r="A78" s="121"/>
      <c r="B78" s="52" t="s">
        <v>6</v>
      </c>
      <c r="C78" s="53">
        <v>81.05791600342843</v>
      </c>
      <c r="D78" s="54">
        <v>18.94208399657157</v>
      </c>
      <c r="E78" s="53">
        <v>76.81271810779371</v>
      </c>
      <c r="F78" s="54">
        <v>23.187281892206283</v>
      </c>
      <c r="G78" s="53">
        <v>66.60477453580901</v>
      </c>
      <c r="H78" s="54">
        <v>33.39522546419098</v>
      </c>
      <c r="I78" s="55">
        <v>76.55001377790025</v>
      </c>
      <c r="J78" s="56">
        <v>23.449986222099753</v>
      </c>
      <c r="K78" s="53">
        <v>78.91402714932127</v>
      </c>
      <c r="L78" s="54">
        <v>21.085972850678733</v>
      </c>
      <c r="M78" s="55">
        <v>76.9895126465145</v>
      </c>
      <c r="N78" s="56">
        <v>23.010487353485505</v>
      </c>
    </row>
    <row r="79" spans="1:14" s="11" customFormat="1" ht="15.75">
      <c r="A79" s="121" t="s">
        <v>9</v>
      </c>
      <c r="B79" s="29" t="s">
        <v>5</v>
      </c>
      <c r="C79" s="30">
        <v>24664</v>
      </c>
      <c r="D79" s="27">
        <v>21823</v>
      </c>
      <c r="E79" s="30">
        <v>11626</v>
      </c>
      <c r="F79" s="27">
        <v>15068</v>
      </c>
      <c r="G79" s="30">
        <v>21347</v>
      </c>
      <c r="H79" s="27">
        <v>11426</v>
      </c>
      <c r="I79" s="30">
        <v>57637</v>
      </c>
      <c r="J79" s="27">
        <v>48317</v>
      </c>
      <c r="K79" s="30">
        <v>3671</v>
      </c>
      <c r="L79" s="27">
        <v>1942</v>
      </c>
      <c r="M79" s="30">
        <v>61308</v>
      </c>
      <c r="N79" s="27">
        <v>50259</v>
      </c>
    </row>
    <row r="80" spans="1:14" s="57" customFormat="1" ht="15">
      <c r="A80" s="121"/>
      <c r="B80" s="52" t="s">
        <v>6</v>
      </c>
      <c r="C80" s="53">
        <v>53.05569298943791</v>
      </c>
      <c r="D80" s="54">
        <v>46.94430701056209</v>
      </c>
      <c r="E80" s="53">
        <v>43.55285832022177</v>
      </c>
      <c r="F80" s="54">
        <v>56.44714167977823</v>
      </c>
      <c r="G80" s="53">
        <v>65.13593506850151</v>
      </c>
      <c r="H80" s="54">
        <v>34.86406493149849</v>
      </c>
      <c r="I80" s="55">
        <v>54.39813503973422</v>
      </c>
      <c r="J80" s="56">
        <v>45.60186496026578</v>
      </c>
      <c r="K80" s="53">
        <v>65.40174594690896</v>
      </c>
      <c r="L80" s="54">
        <v>34.59825405309104</v>
      </c>
      <c r="M80" s="55">
        <v>54.95173303933959</v>
      </c>
      <c r="N80" s="56">
        <v>45.04826696066041</v>
      </c>
    </row>
    <row r="81" spans="1:14" s="14" customFormat="1" ht="15.75">
      <c r="A81" s="121" t="s">
        <v>11</v>
      </c>
      <c r="B81" s="25" t="s">
        <v>5</v>
      </c>
      <c r="C81" s="41">
        <v>0</v>
      </c>
      <c r="D81" s="27">
        <v>67085</v>
      </c>
      <c r="E81" s="41">
        <v>0</v>
      </c>
      <c r="F81" s="27">
        <v>7873</v>
      </c>
      <c r="G81" s="41">
        <v>0</v>
      </c>
      <c r="H81" s="27">
        <v>15408</v>
      </c>
      <c r="I81" s="41">
        <v>0</v>
      </c>
      <c r="J81" s="27">
        <v>90366</v>
      </c>
      <c r="K81" s="41">
        <v>0</v>
      </c>
      <c r="L81" s="42">
        <v>1025</v>
      </c>
      <c r="M81" s="41">
        <v>0</v>
      </c>
      <c r="N81" s="42">
        <v>91391</v>
      </c>
    </row>
    <row r="82" spans="1:14" s="58" customFormat="1" ht="15">
      <c r="A82" s="121"/>
      <c r="B82" s="52" t="s">
        <v>6</v>
      </c>
      <c r="C82" s="53">
        <v>0</v>
      </c>
      <c r="D82" s="54">
        <v>100</v>
      </c>
      <c r="E82" s="53">
        <v>0</v>
      </c>
      <c r="F82" s="54">
        <v>100</v>
      </c>
      <c r="G82" s="53">
        <v>0</v>
      </c>
      <c r="H82" s="54">
        <v>100</v>
      </c>
      <c r="I82" s="55">
        <v>0</v>
      </c>
      <c r="J82" s="56">
        <v>100</v>
      </c>
      <c r="K82" s="53">
        <v>0</v>
      </c>
      <c r="L82" s="54">
        <v>100</v>
      </c>
      <c r="M82" s="55">
        <v>0</v>
      </c>
      <c r="N82" s="56">
        <v>100</v>
      </c>
    </row>
    <row r="83" spans="1:14" s="14" customFormat="1" ht="15.75">
      <c r="A83" s="121" t="s">
        <v>10</v>
      </c>
      <c r="B83" s="29" t="s">
        <v>5</v>
      </c>
      <c r="C83" s="41">
        <v>0</v>
      </c>
      <c r="D83" s="27">
        <v>1517</v>
      </c>
      <c r="E83" s="41">
        <v>0</v>
      </c>
      <c r="F83" s="27">
        <v>1219</v>
      </c>
      <c r="G83" s="41">
        <v>0</v>
      </c>
      <c r="H83" s="27">
        <v>506</v>
      </c>
      <c r="I83" s="41">
        <v>0</v>
      </c>
      <c r="J83" s="27">
        <v>3242</v>
      </c>
      <c r="K83" s="41">
        <v>0</v>
      </c>
      <c r="L83" s="42">
        <v>289</v>
      </c>
      <c r="M83" s="41">
        <v>0</v>
      </c>
      <c r="N83" s="42">
        <v>3531</v>
      </c>
    </row>
    <row r="84" spans="1:14" s="58" customFormat="1" ht="15.75" thickBot="1">
      <c r="A84" s="122"/>
      <c r="B84" s="52" t="s">
        <v>6</v>
      </c>
      <c r="C84" s="59">
        <v>0</v>
      </c>
      <c r="D84" s="60">
        <v>100</v>
      </c>
      <c r="E84" s="59">
        <v>0</v>
      </c>
      <c r="F84" s="60">
        <v>100</v>
      </c>
      <c r="G84" s="59">
        <v>0</v>
      </c>
      <c r="H84" s="60">
        <v>100</v>
      </c>
      <c r="I84" s="55">
        <v>0</v>
      </c>
      <c r="J84" s="56">
        <v>100</v>
      </c>
      <c r="K84" s="59">
        <v>0</v>
      </c>
      <c r="L84" s="54">
        <v>100</v>
      </c>
      <c r="M84" s="55">
        <v>0</v>
      </c>
      <c r="N84" s="56">
        <v>100</v>
      </c>
    </row>
    <row r="85" spans="1:15" ht="15.75">
      <c r="A85" s="125">
        <v>2009</v>
      </c>
      <c r="B85" s="50" t="s">
        <v>5</v>
      </c>
      <c r="C85" s="16">
        <v>36345</v>
      </c>
      <c r="D85" s="17">
        <v>91890</v>
      </c>
      <c r="E85" s="16">
        <v>14922</v>
      </c>
      <c r="F85" s="17">
        <v>25431</v>
      </c>
      <c r="G85" s="16">
        <v>25310</v>
      </c>
      <c r="H85" s="17">
        <v>29243</v>
      </c>
      <c r="I85" s="16">
        <v>76577</v>
      </c>
      <c r="J85" s="17">
        <v>146564</v>
      </c>
      <c r="K85" s="21">
        <v>8865</v>
      </c>
      <c r="L85" s="22">
        <v>4603</v>
      </c>
      <c r="M85" s="21">
        <v>85442</v>
      </c>
      <c r="N85" s="22">
        <v>151167</v>
      </c>
      <c r="O85" s="3"/>
    </row>
    <row r="86" spans="1:14" ht="15.75" thickBot="1">
      <c r="A86" s="126"/>
      <c r="B86" s="51" t="s">
        <v>6</v>
      </c>
      <c r="C86" s="31">
        <v>28.342496198385774</v>
      </c>
      <c r="D86" s="32">
        <v>71.65750380161423</v>
      </c>
      <c r="E86" s="31">
        <v>36.97866329640919</v>
      </c>
      <c r="F86" s="32">
        <v>63.02133670359081</v>
      </c>
      <c r="G86" s="31">
        <v>46.39524865726908</v>
      </c>
      <c r="H86" s="32">
        <v>53.60475134273092</v>
      </c>
      <c r="I86" s="33">
        <v>34.31776320801646</v>
      </c>
      <c r="J86" s="34">
        <v>65.68223679198354</v>
      </c>
      <c r="K86" s="37">
        <v>65.82269082269082</v>
      </c>
      <c r="L86" s="38">
        <v>34.17730917730918</v>
      </c>
      <c r="M86" s="39">
        <v>36.1110524113622</v>
      </c>
      <c r="N86" s="40">
        <v>63.8889475886378</v>
      </c>
    </row>
    <row r="87" spans="1:14" s="11" customFormat="1" ht="15.75">
      <c r="A87" s="123" t="s">
        <v>8</v>
      </c>
      <c r="B87" s="20" t="s">
        <v>5</v>
      </c>
      <c r="C87" s="21">
        <v>12895</v>
      </c>
      <c r="D87" s="22">
        <v>3286</v>
      </c>
      <c r="E87" s="21">
        <v>3815</v>
      </c>
      <c r="F87" s="22">
        <v>1313</v>
      </c>
      <c r="G87" s="21">
        <v>4932</v>
      </c>
      <c r="H87" s="22">
        <v>2473</v>
      </c>
      <c r="I87" s="23">
        <v>21642</v>
      </c>
      <c r="J87" s="24">
        <v>7072</v>
      </c>
      <c r="K87" s="21">
        <v>5182</v>
      </c>
      <c r="L87" s="22">
        <v>1393</v>
      </c>
      <c r="M87" s="23">
        <v>26824</v>
      </c>
      <c r="N87" s="24">
        <v>8465</v>
      </c>
    </row>
    <row r="88" spans="1:14" s="57" customFormat="1" ht="15">
      <c r="A88" s="121"/>
      <c r="B88" s="52" t="s">
        <v>6</v>
      </c>
      <c r="C88" s="53">
        <v>79.69223162968913</v>
      </c>
      <c r="D88" s="54">
        <v>20.307768370310857</v>
      </c>
      <c r="E88" s="53">
        <v>74.39547581903277</v>
      </c>
      <c r="F88" s="54">
        <v>25.604524180967235</v>
      </c>
      <c r="G88" s="53">
        <v>66.60364618501012</v>
      </c>
      <c r="H88" s="54">
        <v>33.39635381498987</v>
      </c>
      <c r="I88" s="55">
        <v>75.37089921292748</v>
      </c>
      <c r="J88" s="56">
        <v>24.62910078707251</v>
      </c>
      <c r="K88" s="53">
        <v>78.81368821292776</v>
      </c>
      <c r="L88" s="54">
        <v>21.186311787072242</v>
      </c>
      <c r="M88" s="55">
        <v>76.01235512482644</v>
      </c>
      <c r="N88" s="56">
        <v>23.987644875173565</v>
      </c>
    </row>
    <row r="89" spans="1:14" s="11" customFormat="1" ht="15.75">
      <c r="A89" s="121" t="s">
        <v>9</v>
      </c>
      <c r="B89" s="29" t="s">
        <v>5</v>
      </c>
      <c r="C89" s="30">
        <v>23450</v>
      </c>
      <c r="D89" s="27">
        <v>21092</v>
      </c>
      <c r="E89" s="30">
        <v>11107</v>
      </c>
      <c r="F89" s="27">
        <v>15181</v>
      </c>
      <c r="G89" s="30">
        <v>20378</v>
      </c>
      <c r="H89" s="27">
        <v>11005</v>
      </c>
      <c r="I89" s="30">
        <v>54935</v>
      </c>
      <c r="J89" s="27">
        <v>47278</v>
      </c>
      <c r="K89" s="30">
        <v>3683</v>
      </c>
      <c r="L89" s="27">
        <v>1920</v>
      </c>
      <c r="M89" s="30">
        <v>58618</v>
      </c>
      <c r="N89" s="27">
        <v>49198</v>
      </c>
    </row>
    <row r="90" spans="1:14" s="57" customFormat="1" ht="15">
      <c r="A90" s="121"/>
      <c r="B90" s="52" t="s">
        <v>6</v>
      </c>
      <c r="C90" s="53">
        <v>52.64693996677293</v>
      </c>
      <c r="D90" s="54">
        <v>47.35306003322707</v>
      </c>
      <c r="E90" s="53">
        <v>42.25121728545344</v>
      </c>
      <c r="F90" s="54">
        <v>57.748782714546564</v>
      </c>
      <c r="G90" s="53">
        <v>64.93324411305483</v>
      </c>
      <c r="H90" s="54">
        <v>35.06675588694516</v>
      </c>
      <c r="I90" s="55">
        <v>53.74560965826265</v>
      </c>
      <c r="J90" s="56">
        <v>46.25439034173735</v>
      </c>
      <c r="K90" s="53">
        <v>65.73264322684275</v>
      </c>
      <c r="L90" s="54">
        <v>34.26735677315724</v>
      </c>
      <c r="M90" s="55">
        <v>54.36855383245529</v>
      </c>
      <c r="N90" s="56">
        <v>45.6314461675447</v>
      </c>
    </row>
    <row r="91" spans="1:14" s="14" customFormat="1" ht="15.75">
      <c r="A91" s="121" t="s">
        <v>11</v>
      </c>
      <c r="B91" s="25" t="s">
        <v>5</v>
      </c>
      <c r="C91" s="41">
        <v>0</v>
      </c>
      <c r="D91" s="27">
        <v>66455</v>
      </c>
      <c r="E91" s="41">
        <v>0</v>
      </c>
      <c r="F91" s="27">
        <v>7900</v>
      </c>
      <c r="G91" s="41">
        <v>0</v>
      </c>
      <c r="H91" s="27">
        <v>15278</v>
      </c>
      <c r="I91" s="41">
        <v>0</v>
      </c>
      <c r="J91" s="27">
        <v>89633</v>
      </c>
      <c r="K91" s="41">
        <v>0</v>
      </c>
      <c r="L91" s="42">
        <v>1078</v>
      </c>
      <c r="M91" s="41">
        <v>0</v>
      </c>
      <c r="N91" s="42">
        <v>90711</v>
      </c>
    </row>
    <row r="92" spans="1:14" s="58" customFormat="1" ht="15">
      <c r="A92" s="121"/>
      <c r="B92" s="52" t="s">
        <v>6</v>
      </c>
      <c r="C92" s="53">
        <v>0</v>
      </c>
      <c r="D92" s="54">
        <v>100</v>
      </c>
      <c r="E92" s="53">
        <v>0</v>
      </c>
      <c r="F92" s="54">
        <v>100</v>
      </c>
      <c r="G92" s="53">
        <v>0</v>
      </c>
      <c r="H92" s="54">
        <v>100</v>
      </c>
      <c r="I92" s="55">
        <v>0</v>
      </c>
      <c r="J92" s="56">
        <v>100</v>
      </c>
      <c r="K92" s="53">
        <v>0</v>
      </c>
      <c r="L92" s="54">
        <v>100</v>
      </c>
      <c r="M92" s="55">
        <v>0</v>
      </c>
      <c r="N92" s="56">
        <v>100</v>
      </c>
    </row>
    <row r="93" spans="1:14" s="14" customFormat="1" ht="15.75">
      <c r="A93" s="121" t="s">
        <v>10</v>
      </c>
      <c r="B93" s="29" t="s">
        <v>5</v>
      </c>
      <c r="C93" s="41">
        <v>0</v>
      </c>
      <c r="D93" s="27">
        <v>1057</v>
      </c>
      <c r="E93" s="41">
        <v>0</v>
      </c>
      <c r="F93" s="27">
        <v>1037</v>
      </c>
      <c r="G93" s="41">
        <v>0</v>
      </c>
      <c r="H93" s="27">
        <v>487</v>
      </c>
      <c r="I93" s="41">
        <v>0</v>
      </c>
      <c r="J93" s="27">
        <v>2581</v>
      </c>
      <c r="K93" s="41">
        <v>0</v>
      </c>
      <c r="L93" s="42">
        <v>212</v>
      </c>
      <c r="M93" s="41">
        <v>0</v>
      </c>
      <c r="N93" s="42">
        <v>2793</v>
      </c>
    </row>
    <row r="94" spans="1:14" s="58" customFormat="1" ht="15.75" thickBot="1">
      <c r="A94" s="122"/>
      <c r="B94" s="52" t="s">
        <v>6</v>
      </c>
      <c r="C94" s="59">
        <v>0</v>
      </c>
      <c r="D94" s="60">
        <v>100</v>
      </c>
      <c r="E94" s="59">
        <v>0</v>
      </c>
      <c r="F94" s="60">
        <v>100</v>
      </c>
      <c r="G94" s="59">
        <v>0</v>
      </c>
      <c r="H94" s="60">
        <v>100</v>
      </c>
      <c r="I94" s="55">
        <v>0</v>
      </c>
      <c r="J94" s="56">
        <v>100</v>
      </c>
      <c r="K94" s="59">
        <v>0</v>
      </c>
      <c r="L94" s="54">
        <v>100</v>
      </c>
      <c r="M94" s="55">
        <v>0</v>
      </c>
      <c r="N94" s="56">
        <v>100</v>
      </c>
    </row>
    <row r="95" spans="1:15" ht="15.75">
      <c r="A95" s="125">
        <v>2010</v>
      </c>
      <c r="B95" s="50" t="s">
        <v>5</v>
      </c>
      <c r="C95" s="16">
        <v>35802</v>
      </c>
      <c r="D95" s="17">
        <v>89339</v>
      </c>
      <c r="E95" s="16">
        <v>14943</v>
      </c>
      <c r="F95" s="17">
        <v>24925</v>
      </c>
      <c r="G95" s="16">
        <v>25736</v>
      </c>
      <c r="H95" s="17">
        <v>26783</v>
      </c>
      <c r="I95" s="16">
        <v>76481</v>
      </c>
      <c r="J95" s="17">
        <v>141047</v>
      </c>
      <c r="K95" s="21">
        <f>K97+K99+K101+K103</f>
        <v>8714</v>
      </c>
      <c r="L95" s="66">
        <f>L97+L99+L101+L103</f>
        <v>4640</v>
      </c>
      <c r="M95" s="21">
        <f>I95+K95</f>
        <v>85195</v>
      </c>
      <c r="N95" s="22">
        <f>J95+L95</f>
        <v>145687</v>
      </c>
      <c r="O95" s="3"/>
    </row>
    <row r="96" spans="1:14" ht="15.75" thickBot="1">
      <c r="A96" s="126"/>
      <c r="B96" s="51" t="s">
        <v>6</v>
      </c>
      <c r="C96" s="31">
        <v>28.609328677252062</v>
      </c>
      <c r="D96" s="32">
        <v>71.39067132274793</v>
      </c>
      <c r="E96" s="31">
        <v>37.48118792013645</v>
      </c>
      <c r="F96" s="32">
        <v>62.51881207986355</v>
      </c>
      <c r="G96" s="31">
        <v>49.003217883051846</v>
      </c>
      <c r="H96" s="32">
        <v>50.996782116948154</v>
      </c>
      <c r="I96" s="33">
        <v>35.15915192526939</v>
      </c>
      <c r="J96" s="34">
        <v>64.84084807473062</v>
      </c>
      <c r="K96" s="37">
        <v>66.16620327463701</v>
      </c>
      <c r="L96" s="38">
        <v>33.83379672536299</v>
      </c>
      <c r="M96" s="39">
        <v>37.30643994985303</v>
      </c>
      <c r="N96" s="40">
        <v>62.69356005014697</v>
      </c>
    </row>
    <row r="97" spans="1:14" s="11" customFormat="1" ht="15.75">
      <c r="A97" s="123" t="s">
        <v>8</v>
      </c>
      <c r="B97" s="20" t="s">
        <v>5</v>
      </c>
      <c r="C97" s="21">
        <v>13096</v>
      </c>
      <c r="D97" s="22">
        <v>2939</v>
      </c>
      <c r="E97" s="21">
        <v>3356</v>
      </c>
      <c r="F97" s="22">
        <v>1765</v>
      </c>
      <c r="G97" s="21">
        <v>4791</v>
      </c>
      <c r="H97" s="22">
        <v>2576</v>
      </c>
      <c r="I97" s="23">
        <v>21243</v>
      </c>
      <c r="J97" s="24">
        <v>7280</v>
      </c>
      <c r="K97" s="21">
        <f>5256-219</f>
        <v>5037</v>
      </c>
      <c r="L97" s="22">
        <f>1442-6</f>
        <v>1436</v>
      </c>
      <c r="M97" s="23">
        <f>I97+K97</f>
        <v>26280</v>
      </c>
      <c r="N97" s="24">
        <f>J97+L97</f>
        <v>8716</v>
      </c>
    </row>
    <row r="98" spans="1:14" s="57" customFormat="1" ht="15.75" thickBot="1">
      <c r="A98" s="121"/>
      <c r="B98" s="52" t="s">
        <v>6</v>
      </c>
      <c r="C98" s="53">
        <v>82</v>
      </c>
      <c r="D98" s="54">
        <v>18</v>
      </c>
      <c r="E98" s="53">
        <v>66</v>
      </c>
      <c r="F98" s="54">
        <v>34</v>
      </c>
      <c r="G98" s="53">
        <v>65</v>
      </c>
      <c r="H98" s="54">
        <v>35</v>
      </c>
      <c r="I98" s="55">
        <v>74</v>
      </c>
      <c r="J98" s="56">
        <v>26</v>
      </c>
      <c r="K98" s="53">
        <v>78</v>
      </c>
      <c r="L98" s="54">
        <v>22</v>
      </c>
      <c r="M98" s="55">
        <v>75</v>
      </c>
      <c r="N98" s="56">
        <v>25</v>
      </c>
    </row>
    <row r="99" spans="1:14" s="11" customFormat="1" ht="15.75">
      <c r="A99" s="121" t="s">
        <v>9</v>
      </c>
      <c r="B99" s="29" t="s">
        <v>5</v>
      </c>
      <c r="C99" s="30">
        <v>22706</v>
      </c>
      <c r="D99" s="27">
        <v>20018</v>
      </c>
      <c r="E99" s="30">
        <v>11587</v>
      </c>
      <c r="F99" s="27">
        <v>14422</v>
      </c>
      <c r="G99" s="30">
        <v>20945</v>
      </c>
      <c r="H99" s="27">
        <v>9019</v>
      </c>
      <c r="I99" s="30">
        <v>55238</v>
      </c>
      <c r="J99" s="27">
        <v>43459</v>
      </c>
      <c r="K99" s="30">
        <f>5453-1776</f>
        <v>3677</v>
      </c>
      <c r="L99" s="27">
        <f>2159-253</f>
        <v>1906</v>
      </c>
      <c r="M99" s="23">
        <f>I99+K99</f>
        <v>58915</v>
      </c>
      <c r="N99" s="24">
        <f>J99+L99</f>
        <v>45365</v>
      </c>
    </row>
    <row r="100" spans="1:14" s="57" customFormat="1" ht="15.75" thickBot="1">
      <c r="A100" s="121"/>
      <c r="B100" s="52" t="s">
        <v>6</v>
      </c>
      <c r="C100" s="53">
        <v>53</v>
      </c>
      <c r="D100" s="54">
        <v>47</v>
      </c>
      <c r="E100" s="53">
        <v>45</v>
      </c>
      <c r="F100" s="54">
        <v>55</v>
      </c>
      <c r="G100" s="53">
        <v>70</v>
      </c>
      <c r="H100" s="54">
        <v>30</v>
      </c>
      <c r="I100" s="55">
        <v>56</v>
      </c>
      <c r="J100" s="56">
        <v>44</v>
      </c>
      <c r="K100" s="53">
        <v>72</v>
      </c>
      <c r="L100" s="54">
        <v>28</v>
      </c>
      <c r="M100" s="55">
        <v>57</v>
      </c>
      <c r="N100" s="56">
        <v>43</v>
      </c>
    </row>
    <row r="101" spans="1:14" s="14" customFormat="1" ht="15.75">
      <c r="A101" s="121" t="s">
        <v>11</v>
      </c>
      <c r="B101" s="25" t="s">
        <v>5</v>
      </c>
      <c r="C101" s="41">
        <v>0</v>
      </c>
      <c r="D101" s="27">
        <v>65356</v>
      </c>
      <c r="E101" s="41">
        <v>0</v>
      </c>
      <c r="F101" s="27">
        <v>7829</v>
      </c>
      <c r="G101" s="41">
        <v>0</v>
      </c>
      <c r="H101" s="27">
        <v>14785</v>
      </c>
      <c r="I101" s="41">
        <v>0</v>
      </c>
      <c r="J101" s="27">
        <v>87970</v>
      </c>
      <c r="K101" s="41">
        <v>0</v>
      </c>
      <c r="L101" s="42">
        <v>1102</v>
      </c>
      <c r="M101" s="23">
        <f>I101+K101</f>
        <v>0</v>
      </c>
      <c r="N101" s="24">
        <f>J101+L101</f>
        <v>89072</v>
      </c>
    </row>
    <row r="102" spans="1:14" s="58" customFormat="1" ht="15.75" thickBot="1">
      <c r="A102" s="121"/>
      <c r="B102" s="52" t="s">
        <v>6</v>
      </c>
      <c r="C102" s="53">
        <v>0</v>
      </c>
      <c r="D102" s="54">
        <v>100</v>
      </c>
      <c r="E102" s="53">
        <v>0</v>
      </c>
      <c r="F102" s="54">
        <v>100</v>
      </c>
      <c r="G102" s="53">
        <v>0</v>
      </c>
      <c r="H102" s="54">
        <v>100</v>
      </c>
      <c r="I102" s="55">
        <v>0</v>
      </c>
      <c r="J102" s="56">
        <v>100</v>
      </c>
      <c r="K102" s="53">
        <v>0</v>
      </c>
      <c r="L102" s="54">
        <v>100</v>
      </c>
      <c r="M102" s="55">
        <v>0</v>
      </c>
      <c r="N102" s="56">
        <v>100</v>
      </c>
    </row>
    <row r="103" spans="1:14" s="14" customFormat="1" ht="15.75">
      <c r="A103" s="121" t="s">
        <v>10</v>
      </c>
      <c r="B103" s="29" t="s">
        <v>5</v>
      </c>
      <c r="C103" s="41">
        <v>0</v>
      </c>
      <c r="D103" s="27">
        <v>1026</v>
      </c>
      <c r="E103" s="41">
        <v>0</v>
      </c>
      <c r="F103" s="27">
        <v>909</v>
      </c>
      <c r="G103" s="41">
        <v>0</v>
      </c>
      <c r="H103" s="27">
        <v>403</v>
      </c>
      <c r="I103" s="41">
        <v>0</v>
      </c>
      <c r="J103" s="27">
        <v>2338</v>
      </c>
      <c r="K103" s="41">
        <v>0</v>
      </c>
      <c r="L103" s="42">
        <f>773-577</f>
        <v>196</v>
      </c>
      <c r="M103" s="23">
        <f>I103+K103</f>
        <v>0</v>
      </c>
      <c r="N103" s="24">
        <f>J103+L103</f>
        <v>2534</v>
      </c>
    </row>
    <row r="104" spans="1:14" s="58" customFormat="1" ht="15.75" thickBot="1">
      <c r="A104" s="122"/>
      <c r="B104" s="52" t="s">
        <v>6</v>
      </c>
      <c r="C104" s="59">
        <v>0</v>
      </c>
      <c r="D104" s="60">
        <v>100</v>
      </c>
      <c r="E104" s="59">
        <v>0</v>
      </c>
      <c r="F104" s="60">
        <v>100</v>
      </c>
      <c r="G104" s="59">
        <v>0</v>
      </c>
      <c r="H104" s="60">
        <v>100</v>
      </c>
      <c r="I104" s="55">
        <v>0</v>
      </c>
      <c r="J104" s="56">
        <v>100</v>
      </c>
      <c r="K104" s="59">
        <v>0</v>
      </c>
      <c r="L104" s="54">
        <v>100</v>
      </c>
      <c r="M104" s="55">
        <v>0</v>
      </c>
      <c r="N104" s="56">
        <v>100</v>
      </c>
    </row>
    <row r="105" spans="1:15" ht="15.75">
      <c r="A105" s="125">
        <v>2011</v>
      </c>
      <c r="B105" s="50" t="s">
        <v>5</v>
      </c>
      <c r="C105" s="16">
        <f aca="true" t="shared" si="0" ref="C105:L105">C107+C109+C111+C113</f>
        <v>34711</v>
      </c>
      <c r="D105" s="17">
        <f t="shared" si="0"/>
        <v>87617</v>
      </c>
      <c r="E105" s="16">
        <f t="shared" si="0"/>
        <v>13945</v>
      </c>
      <c r="F105" s="17">
        <f t="shared" si="0"/>
        <v>24698</v>
      </c>
      <c r="G105" s="16">
        <f t="shared" si="0"/>
        <v>23081</v>
      </c>
      <c r="H105" s="17">
        <f t="shared" si="0"/>
        <v>26746</v>
      </c>
      <c r="I105" s="16">
        <f t="shared" si="0"/>
        <v>71737</v>
      </c>
      <c r="J105" s="17">
        <f t="shared" si="0"/>
        <v>139061</v>
      </c>
      <c r="K105" s="16">
        <f t="shared" si="0"/>
        <v>9249</v>
      </c>
      <c r="L105" s="17">
        <f t="shared" si="0"/>
        <v>4351</v>
      </c>
      <c r="M105" s="16">
        <f>I105+K105</f>
        <v>80986</v>
      </c>
      <c r="N105" s="17">
        <f>J105+L105</f>
        <v>143412</v>
      </c>
      <c r="O105" s="3"/>
    </row>
    <row r="106" spans="1:14" ht="15.75" thickBot="1">
      <c r="A106" s="126"/>
      <c r="B106" s="51" t="s">
        <v>6</v>
      </c>
      <c r="C106" s="64">
        <f>C105/(C105+D105)*100</f>
        <v>28.37535151396246</v>
      </c>
      <c r="D106" s="32">
        <f>D105/(C105+D105)*100</f>
        <v>71.62464848603753</v>
      </c>
      <c r="E106" s="64">
        <f>E105/(E105+F105)*100</f>
        <v>36.08674274771628</v>
      </c>
      <c r="F106" s="32">
        <f>F105/(E105+F105)*100</f>
        <v>63.91325725228373</v>
      </c>
      <c r="G106" s="64">
        <f>G105/(G105+H105)*100</f>
        <v>46.32227507174825</v>
      </c>
      <c r="H106" s="32">
        <f>H105/(G105+H105)*100</f>
        <v>53.67772492825175</v>
      </c>
      <c r="I106" s="33">
        <f>I105/(I105+J105)*100</f>
        <v>34.03115779087088</v>
      </c>
      <c r="J106" s="34">
        <f>J105/(I105+J105)*100</f>
        <v>65.96884220912912</v>
      </c>
      <c r="K106" s="37">
        <f>K105/(K105+L105)*100</f>
        <v>68.00735294117646</v>
      </c>
      <c r="L106" s="38">
        <f>L105/(K105+L105)*100</f>
        <v>31.992647058823533</v>
      </c>
      <c r="M106" s="39">
        <f>M105/(M105+N105)*100</f>
        <v>36.09033948609168</v>
      </c>
      <c r="N106" s="40">
        <f>N105/(M105+N105)*100</f>
        <v>63.90966051390833</v>
      </c>
    </row>
    <row r="107" spans="1:18" s="11" customFormat="1" ht="15.75">
      <c r="A107" s="123" t="s">
        <v>8</v>
      </c>
      <c r="B107" s="20" t="s">
        <v>5</v>
      </c>
      <c r="C107" s="21">
        <v>11893</v>
      </c>
      <c r="D107" s="22">
        <v>3486</v>
      </c>
      <c r="E107" s="21">
        <v>3432</v>
      </c>
      <c r="F107" s="22">
        <v>1355</v>
      </c>
      <c r="G107" s="21">
        <v>4599</v>
      </c>
      <c r="H107" s="66">
        <v>2469</v>
      </c>
      <c r="I107" s="23">
        <f>C107+E107+G107</f>
        <v>19924</v>
      </c>
      <c r="J107" s="24">
        <f>D107+F107+H107</f>
        <v>7310</v>
      </c>
      <c r="K107" s="66">
        <f>7529-1522</f>
        <v>6007</v>
      </c>
      <c r="L107" s="22">
        <v>1447</v>
      </c>
      <c r="M107" s="23">
        <f>I107+K107</f>
        <v>25931</v>
      </c>
      <c r="N107" s="24">
        <f>J107+L107</f>
        <v>8757</v>
      </c>
      <c r="Q107" s="14"/>
      <c r="R107" s="14"/>
    </row>
    <row r="108" spans="1:23" s="57" customFormat="1" ht="15">
      <c r="A108" s="121"/>
      <c r="B108" s="52" t="s">
        <v>6</v>
      </c>
      <c r="C108" s="53">
        <f>C107/(C107+D107)*100</f>
        <v>77.33272644515247</v>
      </c>
      <c r="D108" s="54">
        <f>D107/(C107+D107)*100</f>
        <v>22.66727355484752</v>
      </c>
      <c r="E108" s="53">
        <f>E107/(E107+F107)*100</f>
        <v>71.69417171506163</v>
      </c>
      <c r="F108" s="54">
        <f>F107/(E107+F107)*100</f>
        <v>28.30582828493837</v>
      </c>
      <c r="G108" s="53">
        <f>G107/(G107+H107)*100</f>
        <v>65.0679117147708</v>
      </c>
      <c r="H108" s="65">
        <f>H107/(G107+H107)*100</f>
        <v>34.9320882852292</v>
      </c>
      <c r="I108" s="55">
        <f>I107/(I107+J107)*100</f>
        <v>73.1585518102372</v>
      </c>
      <c r="J108" s="56">
        <f>J107/(I107+J107)*100</f>
        <v>26.841448189762794</v>
      </c>
      <c r="K108" s="65">
        <f>K107/(K107+L107)*100</f>
        <v>80.58760397102228</v>
      </c>
      <c r="L108" s="54">
        <f>L107/(K107+L107)*100</f>
        <v>19.41239602897773</v>
      </c>
      <c r="M108" s="55">
        <f>M107/(M107+N107)*100</f>
        <v>74.75495848708486</v>
      </c>
      <c r="N108" s="56">
        <f>N107/(M107+N107)*100</f>
        <v>25.24504151291513</v>
      </c>
      <c r="O108" s="11"/>
      <c r="P108" s="11"/>
      <c r="Q108" s="14"/>
      <c r="R108" s="14"/>
      <c r="S108" s="11"/>
      <c r="T108" s="11"/>
      <c r="U108" s="11"/>
      <c r="V108" s="11"/>
      <c r="W108" s="11"/>
    </row>
    <row r="109" spans="1:18" s="11" customFormat="1" ht="15.75">
      <c r="A109" s="121" t="s">
        <v>9</v>
      </c>
      <c r="B109" s="29" t="s">
        <v>5</v>
      </c>
      <c r="C109" s="30">
        <v>22818</v>
      </c>
      <c r="D109" s="27">
        <v>19125</v>
      </c>
      <c r="E109" s="30">
        <v>10513</v>
      </c>
      <c r="F109" s="27">
        <v>14790</v>
      </c>
      <c r="G109" s="30">
        <v>18482</v>
      </c>
      <c r="H109" s="67">
        <v>10054</v>
      </c>
      <c r="I109" s="30">
        <f>C109+E109+G109</f>
        <v>51813</v>
      </c>
      <c r="J109" s="27">
        <f>D109+F109+H109</f>
        <v>43969</v>
      </c>
      <c r="K109" s="67">
        <v>3242</v>
      </c>
      <c r="L109" s="27">
        <v>1820</v>
      </c>
      <c r="M109" s="30">
        <f>I109+K109</f>
        <v>55055</v>
      </c>
      <c r="N109" s="27">
        <f>J109+L109</f>
        <v>45789</v>
      </c>
      <c r="Q109" s="14"/>
      <c r="R109" s="14"/>
    </row>
    <row r="110" spans="1:23" s="57" customFormat="1" ht="15">
      <c r="A110" s="121"/>
      <c r="B110" s="52" t="s">
        <v>6</v>
      </c>
      <c r="C110" s="53">
        <f>C109/(C109+D109)*100</f>
        <v>54.402403261569276</v>
      </c>
      <c r="D110" s="54">
        <f>D109/(C109+D109)*100</f>
        <v>45.59759673843073</v>
      </c>
      <c r="E110" s="53">
        <f>E109/(E109+F109)*100</f>
        <v>41.54843299213532</v>
      </c>
      <c r="F110" s="54">
        <f>F109/(E109+F109)*100</f>
        <v>58.45156700786468</v>
      </c>
      <c r="G110" s="53">
        <f>G109/(G109+H109)*100</f>
        <v>64.76731146621812</v>
      </c>
      <c r="H110" s="65">
        <f>H109/(G109+H109)*100</f>
        <v>35.23268853378189</v>
      </c>
      <c r="I110" s="55">
        <f>I109/(I109+J109)*100</f>
        <v>54.094715082165756</v>
      </c>
      <c r="J110" s="56">
        <f>J109/(I109+J109)*100</f>
        <v>45.90528491783425</v>
      </c>
      <c r="K110" s="65">
        <f>K109/(K109+L109)*100</f>
        <v>64.0458316870802</v>
      </c>
      <c r="L110" s="54">
        <f>L109/(K109+L109)*100</f>
        <v>35.95416831291979</v>
      </c>
      <c r="M110" s="55">
        <f>M109/(M109+N109)*100</f>
        <v>54.594224743167665</v>
      </c>
      <c r="N110" s="56">
        <f>N109/(M109+N109)*100</f>
        <v>45.405775256832335</v>
      </c>
      <c r="O110" s="11"/>
      <c r="P110" s="11"/>
      <c r="Q110" s="14"/>
      <c r="R110" s="14"/>
      <c r="S110" s="11"/>
      <c r="T110" s="11"/>
      <c r="U110" s="11"/>
      <c r="V110" s="11"/>
      <c r="W110" s="11"/>
    </row>
    <row r="111" spans="1:23" s="14" customFormat="1" ht="15.75">
      <c r="A111" s="121" t="s">
        <v>11</v>
      </c>
      <c r="B111" s="25" t="s">
        <v>5</v>
      </c>
      <c r="C111" s="41">
        <v>0</v>
      </c>
      <c r="D111" s="27">
        <v>64007</v>
      </c>
      <c r="E111" s="41">
        <v>0</v>
      </c>
      <c r="F111" s="27">
        <v>7608</v>
      </c>
      <c r="G111" s="41">
        <v>0</v>
      </c>
      <c r="H111" s="67">
        <v>13947</v>
      </c>
      <c r="I111" s="41">
        <v>0</v>
      </c>
      <c r="J111" s="27">
        <f>H111+F111+D111</f>
        <v>85562</v>
      </c>
      <c r="K111" s="69">
        <v>0</v>
      </c>
      <c r="L111" s="42">
        <v>905</v>
      </c>
      <c r="M111" s="41">
        <v>0</v>
      </c>
      <c r="N111" s="42">
        <f>L111+J111</f>
        <v>86467</v>
      </c>
      <c r="Q111" s="70"/>
      <c r="V111" s="11"/>
      <c r="W111" s="11"/>
    </row>
    <row r="112" spans="1:23" s="58" customFormat="1" ht="15">
      <c r="A112" s="121"/>
      <c r="B112" s="52" t="s">
        <v>6</v>
      </c>
      <c r="C112" s="53">
        <f>C111/(C111+D111)*100</f>
        <v>0</v>
      </c>
      <c r="D112" s="54">
        <f>D111/(C111+D111)*100</f>
        <v>100</v>
      </c>
      <c r="E112" s="53">
        <f>E111/(E111+F111)*100</f>
        <v>0</v>
      </c>
      <c r="F112" s="54">
        <f>F111/(E111+F111)*100</f>
        <v>100</v>
      </c>
      <c r="G112" s="53">
        <f>G111/(G111+H111)*100</f>
        <v>0</v>
      </c>
      <c r="H112" s="65">
        <f>H111/(G111+H111)*100</f>
        <v>100</v>
      </c>
      <c r="I112" s="55">
        <f>I111/(I111+J111)*100</f>
        <v>0</v>
      </c>
      <c r="J112" s="56">
        <f>J111/(I111+J111)*100</f>
        <v>100</v>
      </c>
      <c r="K112" s="65">
        <f>K111/(K111+L111)*100</f>
        <v>0</v>
      </c>
      <c r="L112" s="54">
        <f>L111/(K111+L111)*100</f>
        <v>100</v>
      </c>
      <c r="M112" s="55">
        <f>M111/(M111+N111)*100</f>
        <v>0</v>
      </c>
      <c r="N112" s="56">
        <f>N111/(M111+N111)*100</f>
        <v>100</v>
      </c>
      <c r="O112" s="14"/>
      <c r="P112" s="14"/>
      <c r="Q112" s="12"/>
      <c r="R112" s="14"/>
      <c r="S112" s="14"/>
      <c r="T112" s="14"/>
      <c r="U112" s="14"/>
      <c r="V112" s="14"/>
      <c r="W112" s="14"/>
    </row>
    <row r="113" spans="1:14" s="14" customFormat="1" ht="15.75">
      <c r="A113" s="121" t="s">
        <v>10</v>
      </c>
      <c r="B113" s="29" t="s">
        <v>5</v>
      </c>
      <c r="C113" s="41">
        <v>0</v>
      </c>
      <c r="D113" s="27">
        <v>999</v>
      </c>
      <c r="E113" s="41">
        <v>0</v>
      </c>
      <c r="F113" s="27">
        <v>945</v>
      </c>
      <c r="G113" s="41">
        <v>0</v>
      </c>
      <c r="H113" s="67">
        <v>276</v>
      </c>
      <c r="I113" s="41">
        <v>0</v>
      </c>
      <c r="J113" s="27">
        <f>H113+F113+D113</f>
        <v>2220</v>
      </c>
      <c r="K113" s="69">
        <v>0</v>
      </c>
      <c r="L113" s="42">
        <v>179</v>
      </c>
      <c r="M113" s="41">
        <v>0</v>
      </c>
      <c r="N113" s="42">
        <f>J113+L113</f>
        <v>2399</v>
      </c>
    </row>
    <row r="114" spans="1:14" s="58" customFormat="1" ht="15.75" thickBot="1">
      <c r="A114" s="122"/>
      <c r="B114" s="61" t="s">
        <v>6</v>
      </c>
      <c r="C114" s="59">
        <f>C113/(C113+D113)*100</f>
        <v>0</v>
      </c>
      <c r="D114" s="60">
        <f>D113/(C113+D113)*100</f>
        <v>100</v>
      </c>
      <c r="E114" s="59">
        <f>E113/(E113+F113)*100</f>
        <v>0</v>
      </c>
      <c r="F114" s="60">
        <f>F113/(E113+F113)*100</f>
        <v>100</v>
      </c>
      <c r="G114" s="59">
        <f>G113/(G113+H113)*100</f>
        <v>0</v>
      </c>
      <c r="H114" s="68">
        <f>H113/(G113+H113)*100</f>
        <v>100</v>
      </c>
      <c r="I114" s="62">
        <f>I113/(I113+J113)*100</f>
        <v>0</v>
      </c>
      <c r="J114" s="63">
        <f>J113/(I113+J113)*100</f>
        <v>100</v>
      </c>
      <c r="K114" s="68">
        <f>K113/(K113+L113)*100</f>
        <v>0</v>
      </c>
      <c r="L114" s="60">
        <f>L113/(K113+L113)*100</f>
        <v>100</v>
      </c>
      <c r="M114" s="62">
        <f>M113/(M113+N113)*100</f>
        <v>0</v>
      </c>
      <c r="N114" s="63">
        <f>N113/(M113+N113)*100</f>
        <v>100</v>
      </c>
    </row>
    <row r="115" spans="1:15" ht="15.75">
      <c r="A115" s="125">
        <v>2012</v>
      </c>
      <c r="B115" s="50" t="s">
        <v>5</v>
      </c>
      <c r="C115" s="16">
        <f>C117+C119+C121+C123</f>
        <v>33420</v>
      </c>
      <c r="D115" s="17">
        <f>D117+D119+D121+D123</f>
        <v>85650</v>
      </c>
      <c r="E115" s="23">
        <v>13579</v>
      </c>
      <c r="F115" s="24">
        <v>24259</v>
      </c>
      <c r="G115" s="16">
        <f aca="true" t="shared" si="1" ref="G115:L115">G117+G119+G121+G123</f>
        <v>21959</v>
      </c>
      <c r="H115" s="17">
        <f t="shared" si="1"/>
        <v>25579</v>
      </c>
      <c r="I115" s="23">
        <v>68958</v>
      </c>
      <c r="J115" s="24">
        <v>135489</v>
      </c>
      <c r="K115" s="16">
        <f t="shared" si="1"/>
        <v>9273</v>
      </c>
      <c r="L115" s="17">
        <f t="shared" si="1"/>
        <v>4316</v>
      </c>
      <c r="M115" s="16">
        <v>78232</v>
      </c>
      <c r="N115" s="17">
        <v>139804</v>
      </c>
      <c r="O115" s="3"/>
    </row>
    <row r="116" spans="1:14" ht="15.75" thickBot="1">
      <c r="A116" s="126"/>
      <c r="B116" s="51" t="s">
        <v>6</v>
      </c>
      <c r="C116" s="64">
        <f>C115/(C115+D115)*100</f>
        <v>28.06752330561854</v>
      </c>
      <c r="D116" s="32">
        <f>D115/(C115+D115)*100</f>
        <v>71.93247669438145</v>
      </c>
      <c r="E116" s="64">
        <f>E115/(E115+F115)*100</f>
        <v>35.887203340557114</v>
      </c>
      <c r="F116" s="32">
        <f>F115/(E115+F115)*100</f>
        <v>64.11279665944288</v>
      </c>
      <c r="G116" s="64">
        <f>G115/(G115+H115)*100</f>
        <v>46.19251966847575</v>
      </c>
      <c r="H116" s="32">
        <f>H115/(G115+H115)*100</f>
        <v>53.807480331524246</v>
      </c>
      <c r="I116" s="33">
        <f>I115/(I115+J115)*100</f>
        <v>33.72903490880277</v>
      </c>
      <c r="J116" s="34">
        <f>J115/(I115+J115)*100</f>
        <v>66.27096509119723</v>
      </c>
      <c r="K116" s="37">
        <f>K115/(K115+L115)*100</f>
        <v>68.23901685186547</v>
      </c>
      <c r="L116" s="38">
        <f>L115/(K115+L115)*100</f>
        <v>31.76098314813452</v>
      </c>
      <c r="M116" s="39">
        <f>M115/(M115+N115)*100</f>
        <v>35.88031334275074</v>
      </c>
      <c r="N116" s="40">
        <f>N115/(M115+N115)*100</f>
        <v>64.11968665724926</v>
      </c>
    </row>
    <row r="117" spans="1:18" s="11" customFormat="1" ht="15.75">
      <c r="A117" s="123" t="s">
        <v>8</v>
      </c>
      <c r="B117" s="20" t="s">
        <v>5</v>
      </c>
      <c r="C117" s="21">
        <v>10914</v>
      </c>
      <c r="D117" s="22">
        <v>4267</v>
      </c>
      <c r="E117" s="21">
        <v>3434</v>
      </c>
      <c r="F117" s="22">
        <v>1324</v>
      </c>
      <c r="G117" s="21">
        <v>4595</v>
      </c>
      <c r="H117" s="66">
        <v>2383</v>
      </c>
      <c r="I117" s="23">
        <f>C117+E117+G117</f>
        <v>18943</v>
      </c>
      <c r="J117" s="24">
        <f>D117+F117+H117</f>
        <v>7974</v>
      </c>
      <c r="K117" s="66">
        <v>6046</v>
      </c>
      <c r="L117" s="22">
        <v>1454</v>
      </c>
      <c r="M117" s="23">
        <f>I117+K117</f>
        <v>24989</v>
      </c>
      <c r="N117" s="24">
        <f>J117+L117</f>
        <v>9428</v>
      </c>
      <c r="Q117" s="14"/>
      <c r="R117" s="14"/>
    </row>
    <row r="118" spans="1:23" s="57" customFormat="1" ht="15">
      <c r="A118" s="121"/>
      <c r="B118" s="52" t="s">
        <v>6</v>
      </c>
      <c r="C118" s="53">
        <f>C117/(C117+D117)*100</f>
        <v>71.89249720044792</v>
      </c>
      <c r="D118" s="54">
        <f>D117/(C117+D117)*100</f>
        <v>28.10750279955207</v>
      </c>
      <c r="E118" s="53">
        <f>E117/(E117+F117)*100</f>
        <v>72.17318200924758</v>
      </c>
      <c r="F118" s="54">
        <f>F117/(E117+F117)*100</f>
        <v>27.826817990752417</v>
      </c>
      <c r="G118" s="53">
        <f>G117/(G117+H117)*100</f>
        <v>65.84981370020063</v>
      </c>
      <c r="H118" s="65">
        <f>H117/(G117+H117)*100</f>
        <v>34.150186299799365</v>
      </c>
      <c r="I118" s="55">
        <f>I117/(I117+J117)*100</f>
        <v>70.37559906378868</v>
      </c>
      <c r="J118" s="56">
        <f>J117/(I117+J117)*100</f>
        <v>29.624400936211316</v>
      </c>
      <c r="K118" s="65">
        <f>K117/(K117+L117)*100</f>
        <v>80.61333333333334</v>
      </c>
      <c r="L118" s="54">
        <f>L117/(K117+L117)*100</f>
        <v>19.386666666666667</v>
      </c>
      <c r="M118" s="55">
        <f>M117/(M117+N117)*100</f>
        <v>72.6065607112764</v>
      </c>
      <c r="N118" s="56">
        <f>N117/(M117+N117)*100</f>
        <v>27.3934392887236</v>
      </c>
      <c r="O118" s="11"/>
      <c r="P118" s="11"/>
      <c r="Q118" s="14"/>
      <c r="R118" s="14"/>
      <c r="S118" s="11"/>
      <c r="T118" s="11"/>
      <c r="U118" s="11"/>
      <c r="V118" s="11"/>
      <c r="W118" s="11"/>
    </row>
    <row r="119" spans="1:18" s="11" customFormat="1" ht="15.75">
      <c r="A119" s="121" t="s">
        <v>9</v>
      </c>
      <c r="B119" s="29" t="s">
        <v>5</v>
      </c>
      <c r="C119" s="30">
        <v>22506</v>
      </c>
      <c r="D119" s="27">
        <v>18505</v>
      </c>
      <c r="E119" s="30">
        <v>10146</v>
      </c>
      <c r="F119" s="27">
        <v>14497</v>
      </c>
      <c r="G119" s="30">
        <v>17364</v>
      </c>
      <c r="H119" s="67">
        <v>9996</v>
      </c>
      <c r="I119" s="30">
        <f>C119+E119+G119</f>
        <v>50016</v>
      </c>
      <c r="J119" s="27">
        <f>D119+F119+H119</f>
        <v>42998</v>
      </c>
      <c r="K119" s="67">
        <v>3227</v>
      </c>
      <c r="L119" s="27">
        <v>1785</v>
      </c>
      <c r="M119" s="30">
        <f>I119+K119</f>
        <v>53243</v>
      </c>
      <c r="N119" s="27">
        <f>J119+L119</f>
        <v>44783</v>
      </c>
      <c r="Q119" s="14"/>
      <c r="R119" s="14"/>
    </row>
    <row r="120" spans="1:23" s="57" customFormat="1" ht="15">
      <c r="A120" s="121"/>
      <c r="B120" s="52" t="s">
        <v>6</v>
      </c>
      <c r="C120" s="53">
        <f>C119/(C119+D119)*100</f>
        <v>54.8779595718222</v>
      </c>
      <c r="D120" s="54">
        <f>D119/(C119+D119)*100</f>
        <v>45.122040428177804</v>
      </c>
      <c r="E120" s="53">
        <f>E119/(E119+F119)*100</f>
        <v>41.17193523515806</v>
      </c>
      <c r="F120" s="54">
        <f>F119/(E119+F119)*100</f>
        <v>58.82806476484195</v>
      </c>
      <c r="G120" s="53">
        <f>G119/(G119+H119)*100</f>
        <v>63.46491228070176</v>
      </c>
      <c r="H120" s="65">
        <f>H119/(G119+H119)*100</f>
        <v>36.53508771929825</v>
      </c>
      <c r="I120" s="55">
        <f>I119/(I119+J119)*100</f>
        <v>53.7725503687617</v>
      </c>
      <c r="J120" s="56">
        <f>J119/(I119+J119)*100</f>
        <v>46.22744963123831</v>
      </c>
      <c r="K120" s="65">
        <f>K119/(K119+L119)*100</f>
        <v>64.3854748603352</v>
      </c>
      <c r="L120" s="54">
        <f>L119/(K119+L119)*100</f>
        <v>35.614525139664806</v>
      </c>
      <c r="M120" s="55">
        <f>M119/(M119+N119)*100</f>
        <v>54.31518168649134</v>
      </c>
      <c r="N120" s="56">
        <f>N119/(M119+N119)*100</f>
        <v>45.684818313508664</v>
      </c>
      <c r="O120" s="11"/>
      <c r="P120" s="11"/>
      <c r="Q120" s="14"/>
      <c r="R120" s="14"/>
      <c r="S120" s="11"/>
      <c r="T120" s="11"/>
      <c r="U120" s="11"/>
      <c r="V120" s="11"/>
      <c r="W120" s="11"/>
    </row>
    <row r="121" spans="1:23" s="14" customFormat="1" ht="15.75">
      <c r="A121" s="121" t="s">
        <v>11</v>
      </c>
      <c r="B121" s="25" t="s">
        <v>5</v>
      </c>
      <c r="C121" s="41">
        <v>0</v>
      </c>
      <c r="D121" s="27">
        <v>62121</v>
      </c>
      <c r="E121" s="41">
        <v>0</v>
      </c>
      <c r="F121" s="27">
        <v>7583</v>
      </c>
      <c r="G121" s="41">
        <v>0</v>
      </c>
      <c r="H121" s="67">
        <v>13031</v>
      </c>
      <c r="I121" s="41">
        <v>0</v>
      </c>
      <c r="J121" s="27">
        <f>H121+F121+D121</f>
        <v>82735</v>
      </c>
      <c r="K121" s="69">
        <v>0</v>
      </c>
      <c r="L121" s="42">
        <v>911</v>
      </c>
      <c r="M121" s="41">
        <v>0</v>
      </c>
      <c r="N121" s="42">
        <f>L121+J121</f>
        <v>83646</v>
      </c>
      <c r="Q121" s="70"/>
      <c r="V121" s="11"/>
      <c r="W121" s="11"/>
    </row>
    <row r="122" spans="1:23" s="58" customFormat="1" ht="15">
      <c r="A122" s="121"/>
      <c r="B122" s="52" t="s">
        <v>6</v>
      </c>
      <c r="C122" s="53">
        <f>C121/(C121+D121)*100</f>
        <v>0</v>
      </c>
      <c r="D122" s="54">
        <f>D121/(C121+D121)*100</f>
        <v>100</v>
      </c>
      <c r="E122" s="53">
        <f>E121/(E121+F121)*100</f>
        <v>0</v>
      </c>
      <c r="F122" s="54">
        <f>F121/(E121+F121)*100</f>
        <v>100</v>
      </c>
      <c r="G122" s="53">
        <f>G121/(G121+H121)*100</f>
        <v>0</v>
      </c>
      <c r="H122" s="65">
        <f>H121/(G121+H121)*100</f>
        <v>100</v>
      </c>
      <c r="I122" s="55">
        <f>I121/(I121+J121)*100</f>
        <v>0</v>
      </c>
      <c r="J122" s="56">
        <f>J121/(I121+J121)*100</f>
        <v>100</v>
      </c>
      <c r="K122" s="65">
        <f>K121/(K121+L121)*100</f>
        <v>0</v>
      </c>
      <c r="L122" s="54">
        <f>L121/(K121+L121)*100</f>
        <v>100</v>
      </c>
      <c r="M122" s="55">
        <f>M121/(M121+N121)*100</f>
        <v>0</v>
      </c>
      <c r="N122" s="56">
        <f>N121/(M121+N121)*100</f>
        <v>100</v>
      </c>
      <c r="O122" s="14"/>
      <c r="P122" s="14"/>
      <c r="Q122" s="12"/>
      <c r="R122" s="14"/>
      <c r="S122" s="14"/>
      <c r="T122" s="14"/>
      <c r="U122" s="14"/>
      <c r="V122" s="14"/>
      <c r="W122" s="14"/>
    </row>
    <row r="123" spans="1:14" s="14" customFormat="1" ht="15.75">
      <c r="A123" s="121" t="s">
        <v>10</v>
      </c>
      <c r="B123" s="29" t="s">
        <v>5</v>
      </c>
      <c r="C123" s="41">
        <v>0</v>
      </c>
      <c r="D123" s="27">
        <v>757</v>
      </c>
      <c r="E123" s="41">
        <v>0</v>
      </c>
      <c r="F123" s="27">
        <v>855</v>
      </c>
      <c r="G123" s="41">
        <v>0</v>
      </c>
      <c r="H123" s="67">
        <v>169</v>
      </c>
      <c r="I123" s="41">
        <v>0</v>
      </c>
      <c r="J123" s="27">
        <f>H123+F123+D123</f>
        <v>1781</v>
      </c>
      <c r="K123" s="69">
        <v>0</v>
      </c>
      <c r="L123" s="42">
        <v>166</v>
      </c>
      <c r="M123" s="41">
        <v>0</v>
      </c>
      <c r="N123" s="42">
        <f>J123+L123</f>
        <v>1947</v>
      </c>
    </row>
    <row r="124" spans="1:14" s="58" customFormat="1" ht="15.75" thickBot="1">
      <c r="A124" s="122"/>
      <c r="B124" s="61" t="s">
        <v>6</v>
      </c>
      <c r="C124" s="59">
        <f>C123/(C123+D123)*100</f>
        <v>0</v>
      </c>
      <c r="D124" s="60">
        <f>D123/(C123+D123)*100</f>
        <v>100</v>
      </c>
      <c r="E124" s="59">
        <f>E123/(E123+F123)*100</f>
        <v>0</v>
      </c>
      <c r="F124" s="60">
        <f>F123/(E123+F123)*100</f>
        <v>100</v>
      </c>
      <c r="G124" s="59">
        <f>G123/(G123+H123)*100</f>
        <v>0</v>
      </c>
      <c r="H124" s="68">
        <f>H123/(G123+H123)*100</f>
        <v>100</v>
      </c>
      <c r="I124" s="62">
        <f>I123/(I123+J123)*100</f>
        <v>0</v>
      </c>
      <c r="J124" s="63">
        <f>J123/(I123+J123)*100</f>
        <v>100</v>
      </c>
      <c r="K124" s="68">
        <f>K123/(K123+L123)*100</f>
        <v>0</v>
      </c>
      <c r="L124" s="60">
        <f>L123/(K123+L123)*100</f>
        <v>100</v>
      </c>
      <c r="M124" s="62">
        <f>M123/(M123+N123)*100</f>
        <v>0</v>
      </c>
      <c r="N124" s="63">
        <f>N123/(M123+N123)*100</f>
        <v>100</v>
      </c>
    </row>
    <row r="125" spans="1:15" ht="15.75">
      <c r="A125" s="125">
        <v>2013</v>
      </c>
      <c r="B125" s="50" t="s">
        <v>5</v>
      </c>
      <c r="C125" s="16">
        <v>32473</v>
      </c>
      <c r="D125" s="17">
        <v>82531</v>
      </c>
      <c r="E125" s="23">
        <v>13633</v>
      </c>
      <c r="F125" s="24">
        <v>23143</v>
      </c>
      <c r="G125" s="16">
        <v>20728</v>
      </c>
      <c r="H125" s="17">
        <v>24761</v>
      </c>
      <c r="I125" s="23">
        <f>C125+E125+G125</f>
        <v>66834</v>
      </c>
      <c r="J125" s="24">
        <f>D125+F125+H125</f>
        <v>130435</v>
      </c>
      <c r="K125" s="16">
        <f>K127+K129+K131+K133</f>
        <v>9335</v>
      </c>
      <c r="L125" s="17">
        <f>L127+L129+L131+L133</f>
        <v>4323</v>
      </c>
      <c r="M125" s="16">
        <f>M127+M129+M131+M133</f>
        <v>76169</v>
      </c>
      <c r="N125" s="17">
        <f>N127+N129+N131+N133</f>
        <v>134758</v>
      </c>
      <c r="O125" s="3"/>
    </row>
    <row r="126" spans="1:14" ht="15.75" thickBot="1">
      <c r="A126" s="126"/>
      <c r="B126" s="51" t="s">
        <v>6</v>
      </c>
      <c r="C126" s="64">
        <f>C125/(C125+D125)*100</f>
        <v>28.236409168376753</v>
      </c>
      <c r="D126" s="32">
        <f>D125/(C125+D125)*100</f>
        <v>71.76359083162325</v>
      </c>
      <c r="E126" s="64">
        <f>E125/(E125+F125)*100</f>
        <v>37.07037198172721</v>
      </c>
      <c r="F126" s="32">
        <f>F125/(E125+F125)*100</f>
        <v>62.92962801827279</v>
      </c>
      <c r="G126" s="64">
        <f>G125/(G125+H125)*100</f>
        <v>45.56706016839236</v>
      </c>
      <c r="H126" s="32">
        <f>H125/(G125+H125)*100</f>
        <v>54.43293983160764</v>
      </c>
      <c r="I126" s="33">
        <f>I125/(I125+J125)*100</f>
        <v>33.879626297086716</v>
      </c>
      <c r="J126" s="34">
        <f>J125/(I125+J125)*100</f>
        <v>66.12037370291328</v>
      </c>
      <c r="K126" s="37">
        <f>K125/(K125+L125)*100</f>
        <v>68.3482208229609</v>
      </c>
      <c r="L126" s="38">
        <f>L125/(K125+L125)*100</f>
        <v>31.651779177039096</v>
      </c>
      <c r="M126" s="39">
        <f>M125/(M125+N125)*100</f>
        <v>36.111545700645244</v>
      </c>
      <c r="N126" s="40">
        <f>N125/(M125+N125)*100</f>
        <v>63.888454299354756</v>
      </c>
    </row>
    <row r="127" spans="1:18" s="11" customFormat="1" ht="15.75">
      <c r="A127" s="123" t="s">
        <v>8</v>
      </c>
      <c r="B127" s="20" t="s">
        <v>5</v>
      </c>
      <c r="C127" s="21">
        <v>11432</v>
      </c>
      <c r="D127" s="22">
        <v>3395</v>
      </c>
      <c r="E127" s="21">
        <v>3424</v>
      </c>
      <c r="F127" s="22">
        <v>1276</v>
      </c>
      <c r="G127" s="21">
        <v>4383</v>
      </c>
      <c r="H127" s="66">
        <v>2466</v>
      </c>
      <c r="I127" s="23">
        <f>C127+E127+G127</f>
        <v>19239</v>
      </c>
      <c r="J127" s="24">
        <f>D127+F127+H127</f>
        <v>7137</v>
      </c>
      <c r="K127" s="66">
        <f>2835+217+3450+798+409-1535</f>
        <v>6174</v>
      </c>
      <c r="L127" s="22">
        <f>1001+4+318+115</f>
        <v>1438</v>
      </c>
      <c r="M127" s="23">
        <f>I127+K127</f>
        <v>25413</v>
      </c>
      <c r="N127" s="24">
        <f>J127+L127</f>
        <v>8575</v>
      </c>
      <c r="Q127" s="14"/>
      <c r="R127" s="14"/>
    </row>
    <row r="128" spans="1:23" s="57" customFormat="1" ht="15">
      <c r="A128" s="121"/>
      <c r="B128" s="52" t="s">
        <v>6</v>
      </c>
      <c r="C128" s="53">
        <f>C127/(C127+D127)*100</f>
        <v>77.10258312537938</v>
      </c>
      <c r="D128" s="54">
        <f>D127/(C127+D127)*100</f>
        <v>22.897416874620625</v>
      </c>
      <c r="E128" s="53">
        <f>E127/(E127+F127)*100</f>
        <v>72.85106382978724</v>
      </c>
      <c r="F128" s="54">
        <f>F127/(E127+F127)*100</f>
        <v>27.148936170212767</v>
      </c>
      <c r="G128" s="53">
        <f>G127/(G127+H127)*100</f>
        <v>63.99474375821288</v>
      </c>
      <c r="H128" s="65">
        <f>H127/(G127+H127)*100</f>
        <v>36.00525624178712</v>
      </c>
      <c r="I128" s="55">
        <f>I127/(I127+J127)*100</f>
        <v>72.94131028207461</v>
      </c>
      <c r="J128" s="56">
        <f>J127/(I127+J127)*100</f>
        <v>27.05868971792539</v>
      </c>
      <c r="K128" s="65">
        <f>K127/(K127+L127)*100</f>
        <v>81.10877561744614</v>
      </c>
      <c r="L128" s="54">
        <f>L127/(K127+L127)*100</f>
        <v>18.89122438255386</v>
      </c>
      <c r="M128" s="55">
        <f>M127/(M127+N127)*100</f>
        <v>74.77050723784865</v>
      </c>
      <c r="N128" s="56">
        <f>N127/(M127+N127)*100</f>
        <v>25.229492762151345</v>
      </c>
      <c r="O128" s="11"/>
      <c r="P128" s="11"/>
      <c r="Q128" s="14"/>
      <c r="R128" s="14"/>
      <c r="S128" s="11"/>
      <c r="T128" s="11"/>
      <c r="U128" s="11"/>
      <c r="V128" s="11"/>
      <c r="W128" s="11"/>
    </row>
    <row r="129" spans="1:18" s="11" customFormat="1" ht="15.75">
      <c r="A129" s="121" t="s">
        <v>9</v>
      </c>
      <c r="B129" s="29" t="s">
        <v>5</v>
      </c>
      <c r="C129" s="30">
        <v>21041</v>
      </c>
      <c r="D129" s="27">
        <v>18896</v>
      </c>
      <c r="E129" s="30">
        <v>10209</v>
      </c>
      <c r="F129" s="27">
        <v>14031</v>
      </c>
      <c r="G129" s="30">
        <v>16345</v>
      </c>
      <c r="H129" s="67">
        <v>10034</v>
      </c>
      <c r="I129" s="30">
        <f>C129+E129+G129</f>
        <v>47595</v>
      </c>
      <c r="J129" s="27">
        <f>D129+F129+H129</f>
        <v>42961</v>
      </c>
      <c r="K129" s="67">
        <f>2855+199+0+49+58</f>
        <v>3161</v>
      </c>
      <c r="L129" s="27">
        <f>1638+130+0+0+39</f>
        <v>1807</v>
      </c>
      <c r="M129" s="30">
        <f>I129+K129</f>
        <v>50756</v>
      </c>
      <c r="N129" s="27">
        <f>J129+L129</f>
        <v>44768</v>
      </c>
      <c r="Q129" s="14"/>
      <c r="R129" s="14"/>
    </row>
    <row r="130" spans="1:23" s="57" customFormat="1" ht="15">
      <c r="A130" s="121"/>
      <c r="B130" s="52" t="s">
        <v>6</v>
      </c>
      <c r="C130" s="53">
        <f>C129/(C129+D129)*100</f>
        <v>52.68547963041791</v>
      </c>
      <c r="D130" s="54">
        <f>D129/(C129+D129)*100</f>
        <v>47.31452036958209</v>
      </c>
      <c r="E130" s="53">
        <f>E129/(E129+F129)*100</f>
        <v>42.116336633663366</v>
      </c>
      <c r="F130" s="54">
        <f>F129/(E129+F129)*100</f>
        <v>57.883663366336634</v>
      </c>
      <c r="G130" s="53">
        <f>G129/(G129+H129)*100</f>
        <v>61.96216687516585</v>
      </c>
      <c r="H130" s="65">
        <f>H129/(G129+H129)*100</f>
        <v>38.037833124834144</v>
      </c>
      <c r="I130" s="55">
        <f>I129/(I129+J129)*100</f>
        <v>52.55863774901718</v>
      </c>
      <c r="J130" s="56">
        <f>J129/(I129+J129)*100</f>
        <v>47.44136225098281</v>
      </c>
      <c r="K130" s="65">
        <f>K129/(K129+L129)*100</f>
        <v>63.62721417069244</v>
      </c>
      <c r="L130" s="54">
        <f>L129/(K129+L129)*100</f>
        <v>36.37278582930757</v>
      </c>
      <c r="M130" s="55">
        <f>M129/(M129+N129)*100</f>
        <v>53.13429085884176</v>
      </c>
      <c r="N130" s="56">
        <f>N129/(M129+N129)*100</f>
        <v>46.86570914115824</v>
      </c>
      <c r="O130" s="11"/>
      <c r="P130" s="11"/>
      <c r="Q130" s="14"/>
      <c r="R130" s="14"/>
      <c r="S130" s="11"/>
      <c r="T130" s="11"/>
      <c r="U130" s="11"/>
      <c r="V130" s="11"/>
      <c r="W130" s="11"/>
    </row>
    <row r="131" spans="1:23" s="14" customFormat="1" ht="15.75">
      <c r="A131" s="121" t="s">
        <v>11</v>
      </c>
      <c r="B131" s="25" t="s">
        <v>5</v>
      </c>
      <c r="C131" s="41">
        <v>0</v>
      </c>
      <c r="D131" s="27">
        <v>59618</v>
      </c>
      <c r="E131" s="41">
        <v>0</v>
      </c>
      <c r="F131" s="27">
        <v>7087</v>
      </c>
      <c r="G131" s="41">
        <v>0</v>
      </c>
      <c r="H131" s="67">
        <v>12123</v>
      </c>
      <c r="I131" s="41">
        <v>0</v>
      </c>
      <c r="J131" s="27">
        <f>H131+F131+D131</f>
        <v>78828</v>
      </c>
      <c r="K131" s="69">
        <v>0</v>
      </c>
      <c r="L131" s="42">
        <v>893</v>
      </c>
      <c r="M131" s="41">
        <v>0</v>
      </c>
      <c r="N131" s="42">
        <f>L131+J131</f>
        <v>79721</v>
      </c>
      <c r="Q131" s="70"/>
      <c r="V131" s="11"/>
      <c r="W131" s="11"/>
    </row>
    <row r="132" spans="1:23" s="58" customFormat="1" ht="15">
      <c r="A132" s="121"/>
      <c r="B132" s="52" t="s">
        <v>6</v>
      </c>
      <c r="C132" s="53">
        <f>C131/(C131+D131)*100</f>
        <v>0</v>
      </c>
      <c r="D132" s="54">
        <f>D131/(C131+D131)*100</f>
        <v>100</v>
      </c>
      <c r="E132" s="53">
        <f>E131/(E131+F131)*100</f>
        <v>0</v>
      </c>
      <c r="F132" s="54">
        <f>F131/(E131+F131)*100</f>
        <v>100</v>
      </c>
      <c r="G132" s="53">
        <f>G131/(G131+H131)*100</f>
        <v>0</v>
      </c>
      <c r="H132" s="65">
        <f>H131/(G131+H131)*100</f>
        <v>100</v>
      </c>
      <c r="I132" s="55">
        <f>I131/(I131+J131)*100</f>
        <v>0</v>
      </c>
      <c r="J132" s="56">
        <f>J131/(I131+J131)*100</f>
        <v>100</v>
      </c>
      <c r="K132" s="65">
        <f>K131/(K131+L131)*100</f>
        <v>0</v>
      </c>
      <c r="L132" s="54">
        <f>L131/(K131+L131)*100</f>
        <v>100</v>
      </c>
      <c r="M132" s="55">
        <f>M131/(M131+N131)*100</f>
        <v>0</v>
      </c>
      <c r="N132" s="56">
        <f>N131/(M131+N131)*100</f>
        <v>100</v>
      </c>
      <c r="O132" s="14"/>
      <c r="P132" s="14"/>
      <c r="Q132" s="12"/>
      <c r="R132" s="14"/>
      <c r="S132" s="14"/>
      <c r="T132" s="14"/>
      <c r="U132" s="14"/>
      <c r="V132" s="14"/>
      <c r="W132" s="14"/>
    </row>
    <row r="133" spans="1:14" s="14" customFormat="1" ht="15.75">
      <c r="A133" s="121" t="s">
        <v>10</v>
      </c>
      <c r="B133" s="29" t="s">
        <v>5</v>
      </c>
      <c r="C133" s="41">
        <v>0</v>
      </c>
      <c r="D133" s="27">
        <v>622</v>
      </c>
      <c r="E133" s="41">
        <v>0</v>
      </c>
      <c r="F133" s="27">
        <v>749</v>
      </c>
      <c r="G133" s="41">
        <v>0</v>
      </c>
      <c r="H133" s="67">
        <v>138</v>
      </c>
      <c r="I133" s="41">
        <v>0</v>
      </c>
      <c r="J133" s="27">
        <f>H133+F133+D133</f>
        <v>1509</v>
      </c>
      <c r="K133" s="69">
        <v>0</v>
      </c>
      <c r="L133" s="42">
        <v>185</v>
      </c>
      <c r="M133" s="41">
        <v>0</v>
      </c>
      <c r="N133" s="42">
        <f>J133+L133</f>
        <v>1694</v>
      </c>
    </row>
    <row r="134" spans="1:14" s="58" customFormat="1" ht="15.75" thickBot="1">
      <c r="A134" s="122"/>
      <c r="B134" s="61" t="s">
        <v>6</v>
      </c>
      <c r="C134" s="59">
        <f>C133/(C133+D133)*100</f>
        <v>0</v>
      </c>
      <c r="D134" s="60">
        <f>D133/(C133+D133)*100</f>
        <v>100</v>
      </c>
      <c r="E134" s="59">
        <f>E133/(E133+F133)*100</f>
        <v>0</v>
      </c>
      <c r="F134" s="60">
        <f>F133/(E133+F133)*100</f>
        <v>100</v>
      </c>
      <c r="G134" s="82">
        <f>G133/(G133+H133)*100</f>
        <v>0</v>
      </c>
      <c r="H134" s="84">
        <f>H133/(G133+H133)*100</f>
        <v>100</v>
      </c>
      <c r="I134" s="62">
        <f>I133/(I133+J133)*100</f>
        <v>0</v>
      </c>
      <c r="J134" s="63">
        <f>J133/(I133+J133)*100</f>
        <v>100</v>
      </c>
      <c r="K134" s="68">
        <f>K133/(K133+L133)*100</f>
        <v>0</v>
      </c>
      <c r="L134" s="60">
        <f>L133/(K133+L133)*100</f>
        <v>100</v>
      </c>
      <c r="M134" s="62">
        <f>M133/(M133+N133)*100</f>
        <v>0</v>
      </c>
      <c r="N134" s="63">
        <f>N133/(M133+N133)*100</f>
        <v>100</v>
      </c>
    </row>
    <row r="135" spans="1:15" ht="15.75">
      <c r="A135" s="119">
        <v>2014</v>
      </c>
      <c r="B135" s="90" t="s">
        <v>5</v>
      </c>
      <c r="C135" s="23">
        <v>31529</v>
      </c>
      <c r="D135" s="24">
        <v>80099</v>
      </c>
      <c r="E135" s="23">
        <v>13626</v>
      </c>
      <c r="F135" s="24">
        <v>22418</v>
      </c>
      <c r="G135" s="23">
        <f>G137+G139+G141+G143</f>
        <v>20220</v>
      </c>
      <c r="H135" s="24">
        <f>H137+H139+H141+H143</f>
        <v>23377</v>
      </c>
      <c r="I135" s="23">
        <f>C135+E135+G135</f>
        <v>65375</v>
      </c>
      <c r="J135" s="24">
        <f>D135+F135+H135</f>
        <v>125894</v>
      </c>
      <c r="K135" s="23">
        <f>K137+K139+K141+K143</f>
        <v>9277</v>
      </c>
      <c r="L135" s="24">
        <f>L137+L139+L141+L143</f>
        <v>4333</v>
      </c>
      <c r="M135" s="23">
        <f>M137+M139+M141+M143</f>
        <v>74652</v>
      </c>
      <c r="N135" s="24">
        <f>N137+N139+N141+N143</f>
        <v>130227</v>
      </c>
      <c r="O135" s="3"/>
    </row>
    <row r="136" spans="1:14" ht="15.75" thickBot="1">
      <c r="A136" s="120"/>
      <c r="B136" s="51" t="s">
        <v>6</v>
      </c>
      <c r="C136" s="72">
        <f>C135/(C135+D135)*100</f>
        <v>28.244705629411975</v>
      </c>
      <c r="D136" s="73">
        <f>D135/(C135+D135)*100</f>
        <v>71.75529437058803</v>
      </c>
      <c r="E136" s="72">
        <f>E135/(E135+F135)*100</f>
        <v>37.80379536122517</v>
      </c>
      <c r="F136" s="73">
        <f>F135/(E135+F135)*100</f>
        <v>62.19620463877483</v>
      </c>
      <c r="G136" s="72">
        <f>G135/(G135+H135)*100</f>
        <v>46.379338027845954</v>
      </c>
      <c r="H136" s="73">
        <f>H135/(G135+H135)*100</f>
        <v>53.620661972154046</v>
      </c>
      <c r="I136" s="74">
        <f>I135/(I135+J135)*100</f>
        <v>34.17961091447124</v>
      </c>
      <c r="J136" s="75">
        <f>J135/(I135+J135)*100</f>
        <v>65.82038908552876</v>
      </c>
      <c r="K136" s="76">
        <f>K135/(K135+L135)*100</f>
        <v>68.16311535635562</v>
      </c>
      <c r="L136" s="77">
        <f>L135/(K135+L135)*100</f>
        <v>31.83688464364438</v>
      </c>
      <c r="M136" s="78">
        <f>M135/(M135+N135)*100</f>
        <v>36.437116541958915</v>
      </c>
      <c r="N136" s="79">
        <f>N135/(M135+N135)*100</f>
        <v>63.562883458041085</v>
      </c>
    </row>
    <row r="137" spans="1:18" s="11" customFormat="1" ht="15.75">
      <c r="A137" s="123" t="s">
        <v>8</v>
      </c>
      <c r="B137" s="20" t="s">
        <v>5</v>
      </c>
      <c r="C137" s="21">
        <v>11132</v>
      </c>
      <c r="D137" s="22">
        <v>3286</v>
      </c>
      <c r="E137" s="21">
        <v>3358</v>
      </c>
      <c r="F137" s="22">
        <v>1259</v>
      </c>
      <c r="G137" s="21">
        <v>4485</v>
      </c>
      <c r="H137" s="66">
        <v>2194</v>
      </c>
      <c r="I137" s="23">
        <f>C137+E137+G137</f>
        <v>18975</v>
      </c>
      <c r="J137" s="24">
        <f>D137+F137+H137</f>
        <v>6739</v>
      </c>
      <c r="K137" s="66">
        <f>2752+210+3457+803+449-1532</f>
        <v>6139</v>
      </c>
      <c r="L137" s="22">
        <f>964+8+0+301+137</f>
        <v>1410</v>
      </c>
      <c r="M137" s="23">
        <f>I137+K137</f>
        <v>25114</v>
      </c>
      <c r="N137" s="24">
        <f>J137+L137</f>
        <v>8149</v>
      </c>
      <c r="Q137" s="14"/>
      <c r="R137" s="14"/>
    </row>
    <row r="138" spans="1:23" s="57" customFormat="1" ht="15">
      <c r="A138" s="121"/>
      <c r="B138" s="52" t="s">
        <v>6</v>
      </c>
      <c r="C138" s="80">
        <f>C137/(C137+D137)*100</f>
        <v>77.20904425024275</v>
      </c>
      <c r="D138" s="81">
        <f>D137/(C137+D137)*100</f>
        <v>22.790955749757245</v>
      </c>
      <c r="E138" s="80">
        <f>E137/(E137+F137)*100</f>
        <v>72.73121074290665</v>
      </c>
      <c r="F138" s="81">
        <f>F137/(E137+F137)*100</f>
        <v>27.268789257093353</v>
      </c>
      <c r="G138" s="80">
        <f>G137/(G137+H137)*100</f>
        <v>67.15077107351401</v>
      </c>
      <c r="H138" s="85">
        <f>H137/(G137+H137)*100</f>
        <v>32.849228926486</v>
      </c>
      <c r="I138" s="86">
        <f>I137/(I137+J137)*100</f>
        <v>73.79248658318426</v>
      </c>
      <c r="J138" s="87">
        <f>J137/(I137+J137)*100</f>
        <v>26.207513416815743</v>
      </c>
      <c r="K138" s="85">
        <f>K137/(K137+L137)*100</f>
        <v>81.32202940786858</v>
      </c>
      <c r="L138" s="81">
        <f>L137/(K137+L137)*100</f>
        <v>18.677970592131405</v>
      </c>
      <c r="M138" s="86">
        <f>M137/(M137+N137)*100</f>
        <v>75.50130775937227</v>
      </c>
      <c r="N138" s="87">
        <f>N137/(M137+N137)*100</f>
        <v>24.498692240627726</v>
      </c>
      <c r="O138" s="11"/>
      <c r="P138" s="11"/>
      <c r="Q138" s="14"/>
      <c r="R138" s="14"/>
      <c r="S138" s="11"/>
      <c r="T138" s="11"/>
      <c r="U138" s="11"/>
      <c r="V138" s="11"/>
      <c r="W138" s="11"/>
    </row>
    <row r="139" spans="1:18" s="11" customFormat="1" ht="15.75">
      <c r="A139" s="121" t="s">
        <v>9</v>
      </c>
      <c r="B139" s="29" t="s">
        <v>5</v>
      </c>
      <c r="C139" s="30">
        <v>20397</v>
      </c>
      <c r="D139" s="27">
        <v>18343</v>
      </c>
      <c r="E139" s="30">
        <v>10268</v>
      </c>
      <c r="F139" s="27">
        <v>13637</v>
      </c>
      <c r="G139" s="30">
        <v>15735</v>
      </c>
      <c r="H139" s="67">
        <v>9849</v>
      </c>
      <c r="I139" s="30">
        <f>C139+E139+G139</f>
        <v>46400</v>
      </c>
      <c r="J139" s="27">
        <f>D139+F139+H139</f>
        <v>41829</v>
      </c>
      <c r="K139" s="67">
        <f>2883+207+0+0+48</f>
        <v>3138</v>
      </c>
      <c r="L139" s="27">
        <f>1656+121+0+47+28</f>
        <v>1852</v>
      </c>
      <c r="M139" s="30">
        <f>I139+K139</f>
        <v>49538</v>
      </c>
      <c r="N139" s="27">
        <f>J139+L139</f>
        <v>43681</v>
      </c>
      <c r="Q139" s="14"/>
      <c r="R139" s="14"/>
    </row>
    <row r="140" spans="1:23" s="57" customFormat="1" ht="15">
      <c r="A140" s="121"/>
      <c r="B140" s="52" t="s">
        <v>6</v>
      </c>
      <c r="C140" s="80">
        <f>C139/(C139+D139)*100</f>
        <v>52.6510067114094</v>
      </c>
      <c r="D140" s="81">
        <f>D139/(C139+D139)*100</f>
        <v>47.3489932885906</v>
      </c>
      <c r="E140" s="80">
        <f>E139/(E139+F139)*100</f>
        <v>42.953357038276515</v>
      </c>
      <c r="F140" s="81">
        <f>F139/(E139+F139)*100</f>
        <v>57.04664296172349</v>
      </c>
      <c r="G140" s="80">
        <f>G139/(G139+H139)*100</f>
        <v>61.50328330206379</v>
      </c>
      <c r="H140" s="85">
        <f>H139/(G139+H139)*100</f>
        <v>38.496716697936215</v>
      </c>
      <c r="I140" s="86">
        <f>I139/(I139+J139)*100</f>
        <v>52.59041811649231</v>
      </c>
      <c r="J140" s="87">
        <f>J139/(I139+J139)*100</f>
        <v>47.40958188350769</v>
      </c>
      <c r="K140" s="85">
        <f>K139/(K139+L139)*100</f>
        <v>62.88577154308618</v>
      </c>
      <c r="L140" s="81">
        <f>L139/(K139+L139)*100</f>
        <v>37.11422845691383</v>
      </c>
      <c r="M140" s="86">
        <f>M139/(M139+N139)*100</f>
        <v>53.14152694193244</v>
      </c>
      <c r="N140" s="87">
        <f>N139/(M139+N139)*100</f>
        <v>46.85847305806756</v>
      </c>
      <c r="O140" s="11"/>
      <c r="P140" s="11"/>
      <c r="Q140" s="14"/>
      <c r="R140" s="14"/>
      <c r="S140" s="11"/>
      <c r="T140" s="11"/>
      <c r="U140" s="11"/>
      <c r="V140" s="11"/>
      <c r="W140" s="11"/>
    </row>
    <row r="141" spans="1:23" s="14" customFormat="1" ht="15.75">
      <c r="A141" s="121" t="s">
        <v>11</v>
      </c>
      <c r="B141" s="25" t="s">
        <v>5</v>
      </c>
      <c r="C141" s="41">
        <v>0</v>
      </c>
      <c r="D141" s="27">
        <v>57826</v>
      </c>
      <c r="E141" s="41">
        <v>0</v>
      </c>
      <c r="F141" s="27">
        <v>6765</v>
      </c>
      <c r="G141" s="41">
        <v>0</v>
      </c>
      <c r="H141" s="67">
        <v>11259</v>
      </c>
      <c r="I141" s="41">
        <v>0</v>
      </c>
      <c r="J141" s="27">
        <f>H141+F141+D141</f>
        <v>75850</v>
      </c>
      <c r="K141" s="69">
        <v>0</v>
      </c>
      <c r="L141" s="42">
        <v>878</v>
      </c>
      <c r="M141" s="41">
        <v>0</v>
      </c>
      <c r="N141" s="42">
        <f>L141+J141</f>
        <v>76728</v>
      </c>
      <c r="Q141" s="70"/>
      <c r="V141" s="11"/>
      <c r="W141" s="11"/>
    </row>
    <row r="142" spans="1:23" s="58" customFormat="1" ht="15">
      <c r="A142" s="121"/>
      <c r="B142" s="52" t="s">
        <v>6</v>
      </c>
      <c r="C142" s="80">
        <f>C141/(C141+D141)*100</f>
        <v>0</v>
      </c>
      <c r="D142" s="81">
        <f>D141/(C141+D141)*100</f>
        <v>100</v>
      </c>
      <c r="E142" s="80">
        <f>E141/(E141+F141)*100</f>
        <v>0</v>
      </c>
      <c r="F142" s="81">
        <f>F141/(E141+F141)*100</f>
        <v>100</v>
      </c>
      <c r="G142" s="80">
        <f>G141/(G141+H141)*100</f>
        <v>0</v>
      </c>
      <c r="H142" s="85">
        <f>H141/(G141+H141)*100</f>
        <v>100</v>
      </c>
      <c r="I142" s="86">
        <f>I141/(I141+J141)*100</f>
        <v>0</v>
      </c>
      <c r="J142" s="87">
        <f>J141/(I141+J141)*100</f>
        <v>100</v>
      </c>
      <c r="K142" s="85">
        <f>K141/(K141+L141)*100</f>
        <v>0</v>
      </c>
      <c r="L142" s="81">
        <f>L141/(K141+L141)*100</f>
        <v>100</v>
      </c>
      <c r="M142" s="86">
        <f>M141/(M141+N141)*100</f>
        <v>0</v>
      </c>
      <c r="N142" s="87">
        <f>N141/(M141+N141)*100</f>
        <v>100</v>
      </c>
      <c r="O142" s="14"/>
      <c r="P142" s="14"/>
      <c r="Q142" s="12"/>
      <c r="R142" s="14"/>
      <c r="S142" s="14"/>
      <c r="T142" s="14"/>
      <c r="U142" s="14"/>
      <c r="V142" s="14"/>
      <c r="W142" s="14"/>
    </row>
    <row r="143" spans="1:14" s="14" customFormat="1" ht="15.75">
      <c r="A143" s="121" t="s">
        <v>10</v>
      </c>
      <c r="B143" s="29" t="s">
        <v>5</v>
      </c>
      <c r="C143" s="41">
        <v>0</v>
      </c>
      <c r="D143" s="27">
        <v>644</v>
      </c>
      <c r="E143" s="41">
        <v>0</v>
      </c>
      <c r="F143" s="27">
        <v>757</v>
      </c>
      <c r="G143" s="41">
        <v>0</v>
      </c>
      <c r="H143" s="67">
        <v>75</v>
      </c>
      <c r="I143" s="41">
        <v>0</v>
      </c>
      <c r="J143" s="27">
        <f>H143+F143+D143</f>
        <v>1476</v>
      </c>
      <c r="K143" s="69">
        <v>0</v>
      </c>
      <c r="L143" s="42">
        <v>193</v>
      </c>
      <c r="M143" s="41">
        <v>0</v>
      </c>
      <c r="N143" s="42">
        <f>J143+L143</f>
        <v>1669</v>
      </c>
    </row>
    <row r="144" spans="1:14" s="58" customFormat="1" ht="15.75" thickBot="1">
      <c r="A144" s="122"/>
      <c r="B144" s="61" t="s">
        <v>6</v>
      </c>
      <c r="C144" s="82">
        <f>C143/(C143+D143)*100</f>
        <v>0</v>
      </c>
      <c r="D144" s="83">
        <f>D143/(C143+D143)*100</f>
        <v>100</v>
      </c>
      <c r="E144" s="82">
        <f>E143/(E143+F143)*100</f>
        <v>0</v>
      </c>
      <c r="F144" s="83">
        <f>F143/(E143+F143)*100</f>
        <v>100</v>
      </c>
      <c r="G144" s="82">
        <f>G143/(G143+H143)*100</f>
        <v>0</v>
      </c>
      <c r="H144" s="84">
        <f>H143/(G143+H143)*100</f>
        <v>100</v>
      </c>
      <c r="I144" s="88">
        <f>I143/(I143+J143)*100</f>
        <v>0</v>
      </c>
      <c r="J144" s="89">
        <f>J143/(I143+J143)*100</f>
        <v>100</v>
      </c>
      <c r="K144" s="84">
        <f>K143/(K143+L143)*100</f>
        <v>0</v>
      </c>
      <c r="L144" s="83">
        <f>L143/(K143+L143)*100</f>
        <v>100</v>
      </c>
      <c r="M144" s="88">
        <f>M143/(M143+N143)*100</f>
        <v>0</v>
      </c>
      <c r="N144" s="89">
        <f>N143/(M143+N143)*100</f>
        <v>100</v>
      </c>
    </row>
    <row r="145" spans="1:15" ht="15.75">
      <c r="A145" s="119">
        <v>2015</v>
      </c>
      <c r="B145" s="90" t="s">
        <v>5</v>
      </c>
      <c r="C145" s="23">
        <v>31529</v>
      </c>
      <c r="D145" s="24">
        <v>80099</v>
      </c>
      <c r="E145" s="23">
        <v>13626</v>
      </c>
      <c r="F145" s="24">
        <v>22418</v>
      </c>
      <c r="G145" s="23">
        <f>G147+G149+G151+G153</f>
        <v>19365</v>
      </c>
      <c r="H145" s="24">
        <f>H147+H149+H151+H153</f>
        <v>22672</v>
      </c>
      <c r="I145" s="23">
        <f>C145+E145+G145</f>
        <v>64520</v>
      </c>
      <c r="J145" s="24">
        <f>D145+F145+H145</f>
        <v>125189</v>
      </c>
      <c r="K145" s="23">
        <f>K147+K149+K151+K153</f>
        <v>9369</v>
      </c>
      <c r="L145" s="24">
        <f>L147+L149+L151+L153</f>
        <v>4259</v>
      </c>
      <c r="M145" s="23">
        <f>M147+M149+M151+M153</f>
        <v>73153</v>
      </c>
      <c r="N145" s="24">
        <f>N147+N149+N151+N153</f>
        <v>127367</v>
      </c>
      <c r="O145" s="3"/>
    </row>
    <row r="146" spans="1:14" ht="15.75" thickBot="1">
      <c r="A146" s="120"/>
      <c r="B146" s="51" t="s">
        <v>6</v>
      </c>
      <c r="C146" s="72">
        <f>C145/(C145+D145)*100</f>
        <v>28.244705629411975</v>
      </c>
      <c r="D146" s="73">
        <f>D145/(C145+D145)*100</f>
        <v>71.75529437058803</v>
      </c>
      <c r="E146" s="72">
        <f>E145/(E145+F145)*100</f>
        <v>37.80379536122517</v>
      </c>
      <c r="F146" s="73">
        <f>F145/(E145+F145)*100</f>
        <v>62.19620463877483</v>
      </c>
      <c r="G146" s="72">
        <f>G145/(G145+H145)*100</f>
        <v>46.06656041106644</v>
      </c>
      <c r="H146" s="73">
        <f>H145/(G145+H145)*100</f>
        <v>53.93343958893356</v>
      </c>
      <c r="I146" s="74">
        <f>I145/(I145+J145)*100</f>
        <v>34.009983711895586</v>
      </c>
      <c r="J146" s="75">
        <f>J145/(I145+J145)*100</f>
        <v>65.99001628810441</v>
      </c>
      <c r="K146" s="76">
        <f>K145/(K145+L145)*100</f>
        <v>68.74816554153213</v>
      </c>
      <c r="L146" s="77">
        <f>L145/(K145+L145)*100</f>
        <v>31.251834458467858</v>
      </c>
      <c r="M146" s="78">
        <f>M145/(M145+N145)*100</f>
        <v>36.48164771593856</v>
      </c>
      <c r="N146" s="79">
        <f>N145/(M145+N145)*100</f>
        <v>63.51835228406144</v>
      </c>
    </row>
    <row r="147" spans="1:18" s="11" customFormat="1" ht="15.75">
      <c r="A147" s="123" t="s">
        <v>8</v>
      </c>
      <c r="B147" s="20" t="s">
        <v>5</v>
      </c>
      <c r="C147" s="21">
        <v>10716</v>
      </c>
      <c r="D147" s="22">
        <v>3105</v>
      </c>
      <c r="E147" s="21">
        <v>3288</v>
      </c>
      <c r="F147" s="22">
        <v>1207</v>
      </c>
      <c r="G147" s="21">
        <v>4326</v>
      </c>
      <c r="H147" s="66">
        <v>2103</v>
      </c>
      <c r="I147" s="23">
        <f>C147+E147+G147</f>
        <v>18330</v>
      </c>
      <c r="J147" s="24">
        <f>D147+F147+H147</f>
        <v>6415</v>
      </c>
      <c r="K147" s="66">
        <v>6359</v>
      </c>
      <c r="L147" s="22">
        <v>1385</v>
      </c>
      <c r="M147" s="23">
        <f>I147+K147</f>
        <v>24689</v>
      </c>
      <c r="N147" s="24">
        <f>J147+L147</f>
        <v>7800</v>
      </c>
      <c r="Q147" s="14"/>
      <c r="R147" s="14"/>
    </row>
    <row r="148" spans="1:23" s="57" customFormat="1" ht="15">
      <c r="A148" s="121"/>
      <c r="B148" s="52" t="s">
        <v>6</v>
      </c>
      <c r="C148" s="80">
        <f>C147/(C147+D147)*100</f>
        <v>77.53418710657695</v>
      </c>
      <c r="D148" s="81">
        <f>D147/(C147+D147)*100</f>
        <v>22.465812893423053</v>
      </c>
      <c r="E148" s="80">
        <f>E147/(E147+F147)*100</f>
        <v>73.14794215795328</v>
      </c>
      <c r="F148" s="81">
        <f>F147/(E147+F147)*100</f>
        <v>26.85205784204672</v>
      </c>
      <c r="G148" s="80">
        <f>G147/(G147+H147)*100</f>
        <v>67.28884741017266</v>
      </c>
      <c r="H148" s="85">
        <f>H147/(G147+H147)*100</f>
        <v>32.71115258982735</v>
      </c>
      <c r="I148" s="86">
        <f>I147/(I147+J147)*100</f>
        <v>74.07557082238836</v>
      </c>
      <c r="J148" s="87">
        <f>J147/(I147+J147)*100</f>
        <v>25.924429177611643</v>
      </c>
      <c r="K148" s="85">
        <f>K147/(K147+L147)*100</f>
        <v>82.11518595041323</v>
      </c>
      <c r="L148" s="81">
        <f>L147/(K147+L147)*100</f>
        <v>17.88481404958678</v>
      </c>
      <c r="M148" s="86">
        <f>M147/(M147+N147)*100</f>
        <v>75.99187417279694</v>
      </c>
      <c r="N148" s="87">
        <f>N147/(M147+N147)*100</f>
        <v>24.008125827203052</v>
      </c>
      <c r="O148" s="11"/>
      <c r="P148" s="11"/>
      <c r="Q148" s="14"/>
      <c r="R148" s="14"/>
      <c r="S148" s="11"/>
      <c r="T148" s="11"/>
      <c r="U148" s="11"/>
      <c r="V148" s="11"/>
      <c r="W148" s="11"/>
    </row>
    <row r="149" spans="1:18" s="11" customFormat="1" ht="15.75">
      <c r="A149" s="121" t="s">
        <v>9</v>
      </c>
      <c r="B149" s="29" t="s">
        <v>5</v>
      </c>
      <c r="C149" s="30">
        <v>19759</v>
      </c>
      <c r="D149" s="27">
        <v>17851</v>
      </c>
      <c r="E149" s="30">
        <v>10656</v>
      </c>
      <c r="F149" s="27">
        <v>12910</v>
      </c>
      <c r="G149" s="30">
        <v>15039</v>
      </c>
      <c r="H149" s="67">
        <v>9789</v>
      </c>
      <c r="I149" s="30">
        <f>C149+E149+G149</f>
        <v>45454</v>
      </c>
      <c r="J149" s="27">
        <f>D149+F149+H149</f>
        <v>40550</v>
      </c>
      <c r="K149" s="67">
        <v>3010</v>
      </c>
      <c r="L149" s="27">
        <v>1800</v>
      </c>
      <c r="M149" s="30">
        <f>I149+K149</f>
        <v>48464</v>
      </c>
      <c r="N149" s="27">
        <f>J149+L149</f>
        <v>42350</v>
      </c>
      <c r="Q149" s="14"/>
      <c r="R149" s="14"/>
    </row>
    <row r="150" spans="1:23" s="57" customFormat="1" ht="15">
      <c r="A150" s="121"/>
      <c r="B150" s="52" t="s">
        <v>6</v>
      </c>
      <c r="C150" s="80">
        <f>C149/(C149+D149)*100</f>
        <v>52.53655942568466</v>
      </c>
      <c r="D150" s="81">
        <f>D149/(C149+D149)*100</f>
        <v>47.46344057431534</v>
      </c>
      <c r="E150" s="80">
        <f>E149/(E149+F149)*100</f>
        <v>45.217686497496395</v>
      </c>
      <c r="F150" s="81">
        <f>F149/(E149+F149)*100</f>
        <v>54.78231350250361</v>
      </c>
      <c r="G150" s="80">
        <f>G149/(G149+H149)*100</f>
        <v>60.57274045432576</v>
      </c>
      <c r="H150" s="85">
        <f>H149/(G149+H149)*100</f>
        <v>39.42725954567424</v>
      </c>
      <c r="I150" s="86">
        <f>I149/(I149+J149)*100</f>
        <v>52.851030184642575</v>
      </c>
      <c r="J150" s="87">
        <f>J149/(I149+J149)*100</f>
        <v>47.148969815357425</v>
      </c>
      <c r="K150" s="85">
        <f>K149/(K149+L149)*100</f>
        <v>62.57796257796257</v>
      </c>
      <c r="L150" s="81">
        <f>L149/(K149+L149)*100</f>
        <v>37.42203742203743</v>
      </c>
      <c r="M150" s="86">
        <f>M149/(M149+N149)*100</f>
        <v>53.36622106723633</v>
      </c>
      <c r="N150" s="87">
        <f>N149/(M149+N149)*100</f>
        <v>46.63377893276367</v>
      </c>
      <c r="O150" s="11"/>
      <c r="P150" s="11"/>
      <c r="Q150" s="14"/>
      <c r="R150" s="14"/>
      <c r="S150" s="11"/>
      <c r="T150" s="11"/>
      <c r="U150" s="11"/>
      <c r="V150" s="11"/>
      <c r="W150" s="11"/>
    </row>
    <row r="151" spans="1:23" s="14" customFormat="1" ht="15.75">
      <c r="A151" s="121" t="s">
        <v>11</v>
      </c>
      <c r="B151" s="25" t="s">
        <v>5</v>
      </c>
      <c r="C151" s="41">
        <v>0</v>
      </c>
      <c r="D151" s="27">
        <v>57342</v>
      </c>
      <c r="E151" s="41">
        <v>0</v>
      </c>
      <c r="F151" s="27">
        <v>6583</v>
      </c>
      <c r="G151" s="41">
        <v>0</v>
      </c>
      <c r="H151" s="67">
        <v>10746</v>
      </c>
      <c r="I151" s="41">
        <v>0</v>
      </c>
      <c r="J151" s="27">
        <f>H151+F151+D151</f>
        <v>74671</v>
      </c>
      <c r="K151" s="69">
        <v>0</v>
      </c>
      <c r="L151" s="42">
        <v>874</v>
      </c>
      <c r="M151" s="41">
        <v>0</v>
      </c>
      <c r="N151" s="42">
        <f>L151+J151</f>
        <v>75545</v>
      </c>
      <c r="Q151" s="70"/>
      <c r="V151" s="11"/>
      <c r="W151" s="11"/>
    </row>
    <row r="152" spans="1:23" s="58" customFormat="1" ht="15">
      <c r="A152" s="121"/>
      <c r="B152" s="52" t="s">
        <v>6</v>
      </c>
      <c r="C152" s="80">
        <f>C151/(C151+D151)*100</f>
        <v>0</v>
      </c>
      <c r="D152" s="81">
        <f>D151/(C151+D151)*100</f>
        <v>100</v>
      </c>
      <c r="E152" s="80">
        <f>E151/(E151+F151)*100</f>
        <v>0</v>
      </c>
      <c r="F152" s="81">
        <f>F151/(E151+F151)*100</f>
        <v>100</v>
      </c>
      <c r="G152" s="80">
        <f>G151/(G151+H151)*100</f>
        <v>0</v>
      </c>
      <c r="H152" s="85">
        <f>H151/(G151+H151)*100</f>
        <v>100</v>
      </c>
      <c r="I152" s="86">
        <f>I151/(I151+J151)*100</f>
        <v>0</v>
      </c>
      <c r="J152" s="87">
        <f>J151/(I151+J151)*100</f>
        <v>100</v>
      </c>
      <c r="K152" s="85">
        <f>K151/(K151+L151)*100</f>
        <v>0</v>
      </c>
      <c r="L152" s="81">
        <f>L151/(K151+L151)*100</f>
        <v>100</v>
      </c>
      <c r="M152" s="86">
        <f>M151/(M151+N151)*100</f>
        <v>0</v>
      </c>
      <c r="N152" s="87">
        <f>N151/(M151+N151)*100</f>
        <v>100</v>
      </c>
      <c r="O152" s="14"/>
      <c r="P152" s="14"/>
      <c r="Q152" s="12"/>
      <c r="R152" s="14"/>
      <c r="S152" s="14"/>
      <c r="T152" s="14"/>
      <c r="U152" s="14"/>
      <c r="V152" s="14"/>
      <c r="W152" s="14"/>
    </row>
    <row r="153" spans="1:14" s="14" customFormat="1" ht="15.75">
      <c r="A153" s="121" t="s">
        <v>10</v>
      </c>
      <c r="B153" s="29" t="s">
        <v>5</v>
      </c>
      <c r="C153" s="41">
        <v>0</v>
      </c>
      <c r="D153" s="27">
        <v>671</v>
      </c>
      <c r="E153" s="41">
        <v>0</v>
      </c>
      <c r="F153" s="27">
        <v>767</v>
      </c>
      <c r="G153" s="41">
        <v>0</v>
      </c>
      <c r="H153" s="67">
        <v>34</v>
      </c>
      <c r="I153" s="41">
        <v>0</v>
      </c>
      <c r="J153" s="27">
        <f>H153+F153+D153</f>
        <v>1472</v>
      </c>
      <c r="K153" s="69">
        <v>0</v>
      </c>
      <c r="L153" s="42">
        <v>200</v>
      </c>
      <c r="M153" s="41">
        <v>0</v>
      </c>
      <c r="N153" s="42">
        <f>J153+L153</f>
        <v>1672</v>
      </c>
    </row>
    <row r="154" spans="1:14" s="58" customFormat="1" ht="15.75" thickBot="1">
      <c r="A154" s="122"/>
      <c r="B154" s="61" t="s">
        <v>6</v>
      </c>
      <c r="C154" s="82">
        <f>C153/(C153+D153)*100</f>
        <v>0</v>
      </c>
      <c r="D154" s="83">
        <f>D153/(C153+D153)*100</f>
        <v>100</v>
      </c>
      <c r="E154" s="82">
        <f>E153/(E153+F153)*100</f>
        <v>0</v>
      </c>
      <c r="F154" s="83">
        <f>F153/(E153+F153)*100</f>
        <v>100</v>
      </c>
      <c r="G154" s="82">
        <f>G153/(G153+H153)*100</f>
        <v>0</v>
      </c>
      <c r="H154" s="84">
        <f>H153/(G153+H153)*100</f>
        <v>100</v>
      </c>
      <c r="I154" s="88">
        <f>I153/(I153+J153)*100</f>
        <v>0</v>
      </c>
      <c r="J154" s="89">
        <f>J153/(I153+J153)*100</f>
        <v>100</v>
      </c>
      <c r="K154" s="84">
        <f>K153/(K153+L153)*100</f>
        <v>0</v>
      </c>
      <c r="L154" s="83">
        <f>L153/(K153+L153)*100</f>
        <v>100</v>
      </c>
      <c r="M154" s="88">
        <f>M153/(M153+N153)*100</f>
        <v>0</v>
      </c>
      <c r="N154" s="89">
        <f>N153/(M153+N153)*100</f>
        <v>100</v>
      </c>
    </row>
    <row r="155" spans="1:15" ht="15.75">
      <c r="A155" s="119">
        <v>2016</v>
      </c>
      <c r="B155" s="90" t="s">
        <v>5</v>
      </c>
      <c r="C155" s="23">
        <f>C157+C159</f>
        <v>30287</v>
      </c>
      <c r="D155" s="24">
        <f>D157+D159+D161+D163</f>
        <v>82395</v>
      </c>
      <c r="E155" s="23">
        <f>E157+E159</f>
        <v>13656</v>
      </c>
      <c r="F155" s="24">
        <f>F157+F159+F161+F163</f>
        <v>21896</v>
      </c>
      <c r="G155" s="23">
        <f>G157+G159</f>
        <v>18758</v>
      </c>
      <c r="H155" s="24">
        <f>H157+H159+H161+H163</f>
        <v>22402</v>
      </c>
      <c r="I155" s="23">
        <f>I157+I159</f>
        <v>62701</v>
      </c>
      <c r="J155" s="24">
        <f>J157+J159+J161+J163</f>
        <v>126693</v>
      </c>
      <c r="K155" s="23">
        <f>K157+K159</f>
        <v>9072</v>
      </c>
      <c r="L155" s="24">
        <f>L157+L159+L161+L163</f>
        <v>4244</v>
      </c>
      <c r="M155" s="23">
        <f>M157+M159</f>
        <v>71773</v>
      </c>
      <c r="N155" s="24">
        <f>N157+N159+N161+N163</f>
        <v>130937</v>
      </c>
      <c r="O155" s="3"/>
    </row>
    <row r="156" spans="1:14" ht="15.75" thickBot="1">
      <c r="A156" s="120"/>
      <c r="B156" s="51" t="s">
        <v>6</v>
      </c>
      <c r="C156" s="72">
        <v>27</v>
      </c>
      <c r="D156" s="73">
        <v>73</v>
      </c>
      <c r="E156" s="72">
        <v>38</v>
      </c>
      <c r="F156" s="73">
        <v>62</v>
      </c>
      <c r="G156" s="72">
        <v>46</v>
      </c>
      <c r="H156" s="73">
        <v>54</v>
      </c>
      <c r="I156" s="74">
        <v>33</v>
      </c>
      <c r="J156" s="75">
        <v>67</v>
      </c>
      <c r="K156" s="76">
        <v>68</v>
      </c>
      <c r="L156" s="77">
        <v>32</v>
      </c>
      <c r="M156" s="78">
        <v>35</v>
      </c>
      <c r="N156" s="79">
        <v>65</v>
      </c>
    </row>
    <row r="157" spans="1:18" s="11" customFormat="1" ht="15.75">
      <c r="A157" s="123" t="s">
        <v>8</v>
      </c>
      <c r="B157" s="20" t="s">
        <v>5</v>
      </c>
      <c r="C157" s="21">
        <v>10535</v>
      </c>
      <c r="D157" s="22">
        <v>3166</v>
      </c>
      <c r="E157" s="21">
        <v>3226</v>
      </c>
      <c r="F157" s="22">
        <v>1266</v>
      </c>
      <c r="G157" s="21">
        <v>4237</v>
      </c>
      <c r="H157" s="66">
        <v>2062</v>
      </c>
      <c r="I157" s="23">
        <v>17998</v>
      </c>
      <c r="J157" s="24">
        <v>6494</v>
      </c>
      <c r="K157" s="66">
        <v>6321</v>
      </c>
      <c r="L157" s="22">
        <v>1444</v>
      </c>
      <c r="M157" s="23">
        <v>24319</v>
      </c>
      <c r="N157" s="24">
        <v>7938</v>
      </c>
      <c r="Q157" s="14"/>
      <c r="R157" s="14"/>
    </row>
    <row r="158" spans="1:23" s="57" customFormat="1" ht="15">
      <c r="A158" s="121"/>
      <c r="B158" s="52" t="s">
        <v>6</v>
      </c>
      <c r="C158" s="80">
        <v>77</v>
      </c>
      <c r="D158" s="81">
        <v>23</v>
      </c>
      <c r="E158" s="80">
        <v>72</v>
      </c>
      <c r="F158" s="81">
        <v>28</v>
      </c>
      <c r="G158" s="80">
        <v>67</v>
      </c>
      <c r="H158" s="85">
        <v>33</v>
      </c>
      <c r="I158" s="86">
        <v>73</v>
      </c>
      <c r="J158" s="87">
        <v>27</v>
      </c>
      <c r="K158" s="85">
        <v>81</v>
      </c>
      <c r="L158" s="81">
        <v>19</v>
      </c>
      <c r="M158" s="86">
        <v>75</v>
      </c>
      <c r="N158" s="87">
        <v>25</v>
      </c>
      <c r="O158" s="11"/>
      <c r="P158" s="11"/>
      <c r="Q158" s="14"/>
      <c r="R158" s="14"/>
      <c r="S158" s="11"/>
      <c r="T158" s="11"/>
      <c r="U158" s="11"/>
      <c r="V158" s="11"/>
      <c r="W158" s="11"/>
    </row>
    <row r="159" spans="1:18" s="11" customFormat="1" ht="15.75">
      <c r="A159" s="121" t="s">
        <v>9</v>
      </c>
      <c r="B159" s="29" t="s">
        <v>5</v>
      </c>
      <c r="C159" s="30">
        <v>19752</v>
      </c>
      <c r="D159" s="27">
        <v>18283</v>
      </c>
      <c r="E159" s="30">
        <v>10430</v>
      </c>
      <c r="F159" s="27">
        <v>12898</v>
      </c>
      <c r="G159" s="30">
        <v>14521</v>
      </c>
      <c r="H159" s="67">
        <v>9895</v>
      </c>
      <c r="I159" s="30">
        <v>44703</v>
      </c>
      <c r="J159" s="27">
        <v>41076</v>
      </c>
      <c r="K159" s="67">
        <v>2751</v>
      </c>
      <c r="L159" s="27">
        <v>1762</v>
      </c>
      <c r="M159" s="30">
        <v>47454</v>
      </c>
      <c r="N159" s="27">
        <v>42838</v>
      </c>
      <c r="Q159" s="14"/>
      <c r="R159" s="14"/>
    </row>
    <row r="160" spans="1:23" s="57" customFormat="1" ht="15">
      <c r="A160" s="121"/>
      <c r="B160" s="52" t="s">
        <v>6</v>
      </c>
      <c r="C160" s="80">
        <v>52</v>
      </c>
      <c r="D160" s="81">
        <v>48</v>
      </c>
      <c r="E160" s="80">
        <v>45</v>
      </c>
      <c r="F160" s="81">
        <v>55</v>
      </c>
      <c r="G160" s="80">
        <v>59</v>
      </c>
      <c r="H160" s="85">
        <v>41</v>
      </c>
      <c r="I160" s="86">
        <v>52</v>
      </c>
      <c r="J160" s="87">
        <v>48</v>
      </c>
      <c r="K160" s="85">
        <v>61</v>
      </c>
      <c r="L160" s="81">
        <v>39</v>
      </c>
      <c r="M160" s="86">
        <v>53</v>
      </c>
      <c r="N160" s="87">
        <v>47</v>
      </c>
      <c r="O160" s="11"/>
      <c r="P160" s="11"/>
      <c r="Q160" s="14"/>
      <c r="R160" s="14"/>
      <c r="S160" s="11"/>
      <c r="T160" s="11"/>
      <c r="U160" s="11"/>
      <c r="V160" s="11"/>
      <c r="W160" s="11"/>
    </row>
    <row r="161" spans="1:23" s="14" customFormat="1" ht="15.75">
      <c r="A161" s="121" t="s">
        <v>11</v>
      </c>
      <c r="B161" s="25" t="s">
        <v>5</v>
      </c>
      <c r="C161" s="41">
        <v>0</v>
      </c>
      <c r="D161" s="27">
        <v>60395</v>
      </c>
      <c r="E161" s="41">
        <v>0</v>
      </c>
      <c r="F161" s="27">
        <v>6870</v>
      </c>
      <c r="G161" s="41">
        <v>0</v>
      </c>
      <c r="H161" s="67">
        <v>10381</v>
      </c>
      <c r="I161" s="41">
        <v>0</v>
      </c>
      <c r="J161" s="27">
        <v>77646</v>
      </c>
      <c r="K161" s="69">
        <v>0</v>
      </c>
      <c r="L161" s="42">
        <v>859</v>
      </c>
      <c r="M161" s="41">
        <v>0</v>
      </c>
      <c r="N161" s="42">
        <v>78505</v>
      </c>
      <c r="Q161" s="70"/>
      <c r="V161" s="11"/>
      <c r="W161" s="11"/>
    </row>
    <row r="162" spans="1:23" s="58" customFormat="1" ht="15">
      <c r="A162" s="121"/>
      <c r="B162" s="52" t="s">
        <v>6</v>
      </c>
      <c r="C162" s="80">
        <v>0</v>
      </c>
      <c r="D162" s="81">
        <v>100</v>
      </c>
      <c r="E162" s="80">
        <v>0</v>
      </c>
      <c r="F162" s="81">
        <v>100</v>
      </c>
      <c r="G162" s="80">
        <v>0</v>
      </c>
      <c r="H162" s="85">
        <v>100</v>
      </c>
      <c r="I162" s="86">
        <v>0</v>
      </c>
      <c r="J162" s="87">
        <v>100</v>
      </c>
      <c r="K162" s="85">
        <v>0</v>
      </c>
      <c r="L162" s="81">
        <v>100</v>
      </c>
      <c r="M162" s="86">
        <v>0</v>
      </c>
      <c r="N162" s="87">
        <v>100</v>
      </c>
      <c r="O162" s="14"/>
      <c r="P162" s="14"/>
      <c r="Q162" s="12"/>
      <c r="R162" s="14"/>
      <c r="S162" s="14"/>
      <c r="T162" s="14"/>
      <c r="U162" s="14"/>
      <c r="V162" s="14"/>
      <c r="W162" s="14"/>
    </row>
    <row r="163" spans="1:14" s="14" customFormat="1" ht="15.75">
      <c r="A163" s="121" t="s">
        <v>10</v>
      </c>
      <c r="B163" s="29" t="s">
        <v>5</v>
      </c>
      <c r="C163" s="41">
        <v>0</v>
      </c>
      <c r="D163" s="27">
        <v>551</v>
      </c>
      <c r="E163" s="41">
        <v>0</v>
      </c>
      <c r="F163" s="27">
        <v>862</v>
      </c>
      <c r="G163" s="41">
        <v>0</v>
      </c>
      <c r="H163" s="67">
        <v>64</v>
      </c>
      <c r="I163" s="41">
        <v>0</v>
      </c>
      <c r="J163" s="27">
        <v>1477</v>
      </c>
      <c r="K163" s="69">
        <v>0</v>
      </c>
      <c r="L163" s="42">
        <v>179</v>
      </c>
      <c r="M163" s="41">
        <v>0</v>
      </c>
      <c r="N163" s="42">
        <v>1656</v>
      </c>
    </row>
    <row r="164" spans="1:14" s="58" customFormat="1" ht="15.75" thickBot="1">
      <c r="A164" s="122"/>
      <c r="B164" s="61" t="s">
        <v>6</v>
      </c>
      <c r="C164" s="82">
        <v>0</v>
      </c>
      <c r="D164" s="83">
        <v>100</v>
      </c>
      <c r="E164" s="82">
        <v>0</v>
      </c>
      <c r="F164" s="83">
        <v>100</v>
      </c>
      <c r="G164" s="82">
        <v>0</v>
      </c>
      <c r="H164" s="84">
        <v>100</v>
      </c>
      <c r="I164" s="88">
        <v>0</v>
      </c>
      <c r="J164" s="89">
        <v>100</v>
      </c>
      <c r="K164" s="84">
        <v>0</v>
      </c>
      <c r="L164" s="83">
        <v>100</v>
      </c>
      <c r="M164" s="88">
        <v>0</v>
      </c>
      <c r="N164" s="89">
        <v>100</v>
      </c>
    </row>
    <row r="165" spans="1:15" ht="15.75">
      <c r="A165" s="119">
        <v>2017</v>
      </c>
      <c r="B165" s="90" t="s">
        <v>5</v>
      </c>
      <c r="C165" s="23">
        <f>SUM(C167+C169)</f>
        <v>29440</v>
      </c>
      <c r="D165" s="23">
        <f>SUM(D167+D169+D171+D173)</f>
        <v>85028</v>
      </c>
      <c r="E165" s="23">
        <f>SUM(E167+E169)</f>
        <v>13323</v>
      </c>
      <c r="F165" s="24">
        <f>SUM(F167+F169+F171+F173)</f>
        <v>22004</v>
      </c>
      <c r="G165" s="23">
        <f>SUM(G167+G169)</f>
        <v>18086</v>
      </c>
      <c r="H165" s="24">
        <f>SUM(H167+H169+H171+H173)</f>
        <v>22699</v>
      </c>
      <c r="I165" s="23">
        <f>SUM(I167+I169)</f>
        <v>60849</v>
      </c>
      <c r="J165" s="24">
        <f>SUM(J167+J169+J171+J173)</f>
        <v>129731</v>
      </c>
      <c r="K165" s="23">
        <f>M165-I165</f>
        <v>9156</v>
      </c>
      <c r="L165" s="24">
        <f>N165-J165</f>
        <v>4174</v>
      </c>
      <c r="M165" s="23">
        <f>SUM(M167+M169)</f>
        <v>70005</v>
      </c>
      <c r="N165" s="24">
        <f>SUM(N167+N169+N171+N173)</f>
        <v>133905</v>
      </c>
      <c r="O165" s="3"/>
    </row>
    <row r="166" spans="1:14" ht="15.75" thickBot="1">
      <c r="A166" s="120"/>
      <c r="B166" s="51" t="s">
        <v>6</v>
      </c>
      <c r="C166" s="72">
        <f>ROUND(C165/(C165+D165)*100,0)</f>
        <v>26</v>
      </c>
      <c r="D166" s="73">
        <f>ROUND(D165/(D165+C165)*100,0)</f>
        <v>74</v>
      </c>
      <c r="E166" s="72">
        <f>ROUND(E165/(E165+F165)*100,0)</f>
        <v>38</v>
      </c>
      <c r="F166" s="73">
        <f>ROUND(F165/(F165+E165)*100,0)</f>
        <v>62</v>
      </c>
      <c r="G166" s="72">
        <f>ROUND(G165/(G165+H165)*100,0)</f>
        <v>44</v>
      </c>
      <c r="H166" s="73">
        <f>ROUND(H165/(H165+G165)*100,0)</f>
        <v>56</v>
      </c>
      <c r="I166" s="74">
        <f>ROUND(I165/(I165+J165)*100,0)</f>
        <v>32</v>
      </c>
      <c r="J166" s="75">
        <f>ROUND(J165/(J165+I165)*100,0)</f>
        <v>68</v>
      </c>
      <c r="K166" s="76">
        <f>ROUND(K165/(K165+L165)*100,0)</f>
        <v>69</v>
      </c>
      <c r="L166" s="77">
        <f>ROUND(L165/(L165+K165)*100,0)</f>
        <v>31</v>
      </c>
      <c r="M166" s="78">
        <f>ROUND(M165/(M165+N165)*100,0)</f>
        <v>34</v>
      </c>
      <c r="N166" s="79">
        <f>ROUND(N165/(N165+M165)*100,0)</f>
        <v>66</v>
      </c>
    </row>
    <row r="167" spans="1:16" s="11" customFormat="1" ht="15.75">
      <c r="A167" s="123" t="s">
        <v>8</v>
      </c>
      <c r="B167" s="20" t="s">
        <v>5</v>
      </c>
      <c r="C167" s="21">
        <v>10495</v>
      </c>
      <c r="D167" s="22">
        <v>3371</v>
      </c>
      <c r="E167" s="21">
        <v>3143</v>
      </c>
      <c r="F167" s="22">
        <v>1316</v>
      </c>
      <c r="G167" s="21">
        <v>4368</v>
      </c>
      <c r="H167" s="66">
        <v>1975</v>
      </c>
      <c r="I167" s="23">
        <f>C167+E167+G167</f>
        <v>18006</v>
      </c>
      <c r="J167" s="24">
        <f>D167+F167+H167</f>
        <v>6662</v>
      </c>
      <c r="K167" s="66">
        <f aca="true" t="shared" si="2" ref="K167:L171">M167-I167</f>
        <v>6246</v>
      </c>
      <c r="L167" s="22">
        <f>N167-J167</f>
        <v>1431</v>
      </c>
      <c r="M167" s="23">
        <f>24440-188</f>
        <v>24252</v>
      </c>
      <c r="N167" s="24">
        <f>8102-9</f>
        <v>8093</v>
      </c>
      <c r="P167" s="110"/>
    </row>
    <row r="168" spans="1:20" s="57" customFormat="1" ht="15">
      <c r="A168" s="121"/>
      <c r="B168" s="52" t="s">
        <v>6</v>
      </c>
      <c r="C168" s="80">
        <f>ROUND(C167/(C167+D167)*100,0)</f>
        <v>76</v>
      </c>
      <c r="D168" s="81">
        <f>ROUND(D167/(D167+C167)*100,0)</f>
        <v>24</v>
      </c>
      <c r="E168" s="80">
        <f>ROUND(E167/(E167+F167)*100,0)</f>
        <v>70</v>
      </c>
      <c r="F168" s="81">
        <f>ROUND(F167/(F167+E167)*100,0)</f>
        <v>30</v>
      </c>
      <c r="G168" s="80">
        <f>ROUND(G167/(G167+H167)*100,0)</f>
        <v>69</v>
      </c>
      <c r="H168" s="85">
        <f>ROUND(H167/(H167+G167)*100,0)</f>
        <v>31</v>
      </c>
      <c r="I168" s="86">
        <f>ROUND(I167/(I167+J167)*100,0)</f>
        <v>73</v>
      </c>
      <c r="J168" s="87">
        <f>ROUND(J167/(J167+I167)*100,0)</f>
        <v>27</v>
      </c>
      <c r="K168" s="85">
        <f>ROUND(K167/(K167+L167)*100,0)</f>
        <v>81</v>
      </c>
      <c r="L168" s="81">
        <f>ROUND(L167/(L167+K167)*100,0)</f>
        <v>19</v>
      </c>
      <c r="M168" s="86">
        <f>ROUND(M167/(M167+N167)*100,0)</f>
        <v>75</v>
      </c>
      <c r="N168" s="87">
        <f>ROUND(N167/(N167+M167)*100,0)</f>
        <v>25</v>
      </c>
      <c r="O168" s="11"/>
      <c r="P168" s="110"/>
      <c r="Q168" s="11"/>
      <c r="R168" s="11"/>
      <c r="S168" s="11"/>
      <c r="T168" s="11"/>
    </row>
    <row r="169" spans="1:16" s="11" customFormat="1" ht="15.75">
      <c r="A169" s="121" t="s">
        <v>9</v>
      </c>
      <c r="B169" s="29" t="s">
        <v>5</v>
      </c>
      <c r="C169" s="30">
        <v>18945</v>
      </c>
      <c r="D169" s="27">
        <v>19657</v>
      </c>
      <c r="E169" s="30">
        <v>10180</v>
      </c>
      <c r="F169" s="27">
        <v>13050</v>
      </c>
      <c r="G169" s="30">
        <v>13718</v>
      </c>
      <c r="H169" s="67">
        <v>10475</v>
      </c>
      <c r="I169" s="30">
        <f>C169+E169+G169</f>
        <v>42843</v>
      </c>
      <c r="J169" s="27">
        <f>D169+F169+H169</f>
        <v>43182</v>
      </c>
      <c r="K169" s="67">
        <f t="shared" si="2"/>
        <v>2910</v>
      </c>
      <c r="L169" s="27">
        <f t="shared" si="2"/>
        <v>1776</v>
      </c>
      <c r="M169" s="30">
        <f>46849-1096</f>
        <v>45753</v>
      </c>
      <c r="N169" s="27">
        <f>45737-779</f>
        <v>44958</v>
      </c>
      <c r="P169" s="110"/>
    </row>
    <row r="170" spans="1:20" s="57" customFormat="1" ht="15">
      <c r="A170" s="121"/>
      <c r="B170" s="52" t="s">
        <v>6</v>
      </c>
      <c r="C170" s="80">
        <f>ROUND(C169/(C169+D169)*100,0)</f>
        <v>49</v>
      </c>
      <c r="D170" s="81">
        <f>ROUND(D169/(D169+C169)*100,0)</f>
        <v>51</v>
      </c>
      <c r="E170" s="80">
        <f>ROUND(E169/(E169+F169)*100,0)</f>
        <v>44</v>
      </c>
      <c r="F170" s="81">
        <f>ROUND(F169/(F169+E169)*100,0)</f>
        <v>56</v>
      </c>
      <c r="G170" s="80">
        <f>ROUND(G169/(G169+H169)*100,0)</f>
        <v>57</v>
      </c>
      <c r="H170" s="85">
        <f>ROUND(H169/(H169+G169)*100,0)</f>
        <v>43</v>
      </c>
      <c r="I170" s="86">
        <f>ROUND(I169/(I169+J169)*100,0)</f>
        <v>50</v>
      </c>
      <c r="J170" s="87">
        <f>ROUND(J169/(J169+I169)*100,0)</f>
        <v>50</v>
      </c>
      <c r="K170" s="85">
        <f>ROUND(K169/(K169+L169)*100,0)</f>
        <v>62</v>
      </c>
      <c r="L170" s="81">
        <f>ROUND(L169/(L169+K169)*100,0)</f>
        <v>38</v>
      </c>
      <c r="M170" s="86">
        <f>ROUND(M169/(M169+N169)*100,0)</f>
        <v>50</v>
      </c>
      <c r="N170" s="87">
        <f>ROUND(N169/(N169+M169)*100,0)</f>
        <v>50</v>
      </c>
      <c r="O170" s="11"/>
      <c r="P170" s="110"/>
      <c r="Q170" s="11"/>
      <c r="R170" s="11"/>
      <c r="S170" s="11"/>
      <c r="T170" s="11"/>
    </row>
    <row r="171" spans="1:20" s="14" customFormat="1" ht="15.75">
      <c r="A171" s="121" t="s">
        <v>11</v>
      </c>
      <c r="B171" s="25" t="s">
        <v>5</v>
      </c>
      <c r="C171" s="41">
        <v>0</v>
      </c>
      <c r="D171" s="27">
        <v>61579</v>
      </c>
      <c r="E171" s="41">
        <v>0</v>
      </c>
      <c r="F171" s="27">
        <v>6782</v>
      </c>
      <c r="G171" s="41">
        <v>0</v>
      </c>
      <c r="H171" s="67">
        <v>10144</v>
      </c>
      <c r="I171" s="41">
        <v>0</v>
      </c>
      <c r="J171" s="27">
        <f>H171+F171+D171</f>
        <v>78505</v>
      </c>
      <c r="K171" s="69">
        <f t="shared" si="2"/>
        <v>0</v>
      </c>
      <c r="L171" s="42">
        <f t="shared" si="2"/>
        <v>819</v>
      </c>
      <c r="M171" s="41">
        <v>0</v>
      </c>
      <c r="N171" s="42">
        <f>79324-0</f>
        <v>79324</v>
      </c>
      <c r="P171" s="110"/>
      <c r="S171" s="11"/>
      <c r="T171" s="11"/>
    </row>
    <row r="172" spans="1:20" s="58" customFormat="1" ht="15">
      <c r="A172" s="121"/>
      <c r="B172" s="52" t="s">
        <v>6</v>
      </c>
      <c r="C172" s="80">
        <f>ROUND(C171/(C171+D171)*100,0)</f>
        <v>0</v>
      </c>
      <c r="D172" s="81">
        <f>ROUND(D171/(D171+C171)*100,0)</f>
        <v>100</v>
      </c>
      <c r="E172" s="80">
        <f>ROUND(E171/(E171+F171)*100,0)</f>
        <v>0</v>
      </c>
      <c r="F172" s="81">
        <f>ROUND(F171/(F171+E171)*100,0)</f>
        <v>100</v>
      </c>
      <c r="G172" s="80">
        <f>ROUND(G171/(G171+H171)*100,0)</f>
        <v>0</v>
      </c>
      <c r="H172" s="85">
        <f>ROUND(H171/(H171+G171)*100,0)</f>
        <v>100</v>
      </c>
      <c r="I172" s="86">
        <f>ROUND(I171/(I171+J171)*100,0)</f>
        <v>0</v>
      </c>
      <c r="J172" s="87">
        <f>ROUND(J171/(J171+I171)*100,0)</f>
        <v>100</v>
      </c>
      <c r="K172" s="85">
        <f>ROUND(K171/(K171+L171)*100,0)</f>
        <v>0</v>
      </c>
      <c r="L172" s="81">
        <f>ROUND(L171/(L171+K171)*100,0)</f>
        <v>100</v>
      </c>
      <c r="M172" s="86">
        <f>ROUND(M171/(M171+N171)*100,0)</f>
        <v>0</v>
      </c>
      <c r="N172" s="87">
        <f>ROUND(N171/(N171+M171)*100,0)</f>
        <v>100</v>
      </c>
      <c r="O172" s="14"/>
      <c r="P172" s="110"/>
      <c r="Q172" s="14"/>
      <c r="R172" s="14"/>
      <c r="S172" s="14"/>
      <c r="T172" s="14"/>
    </row>
    <row r="173" spans="1:16" s="14" customFormat="1" ht="15.75">
      <c r="A173" s="121" t="s">
        <v>10</v>
      </c>
      <c r="B173" s="29" t="s">
        <v>5</v>
      </c>
      <c r="C173" s="41">
        <v>0</v>
      </c>
      <c r="D173" s="27">
        <v>421</v>
      </c>
      <c r="E173" s="41">
        <v>0</v>
      </c>
      <c r="F173" s="27">
        <v>856</v>
      </c>
      <c r="G173" s="41">
        <v>0</v>
      </c>
      <c r="H173" s="67">
        <v>105</v>
      </c>
      <c r="I173" s="41">
        <v>0</v>
      </c>
      <c r="J173" s="27">
        <f>H173+F173+D173</f>
        <v>1382</v>
      </c>
      <c r="K173" s="69">
        <f>M173-I173</f>
        <v>0</v>
      </c>
      <c r="L173" s="42">
        <f>N173-J173</f>
        <v>148</v>
      </c>
      <c r="M173" s="41">
        <v>0</v>
      </c>
      <c r="N173" s="42">
        <f>1957-427</f>
        <v>1530</v>
      </c>
      <c r="P173" s="110"/>
    </row>
    <row r="174" spans="1:14" s="58" customFormat="1" ht="15.75" thickBot="1">
      <c r="A174" s="122"/>
      <c r="B174" s="61" t="s">
        <v>6</v>
      </c>
      <c r="C174" s="82">
        <f>ROUND(C173/(C173+D173)*100,0)</f>
        <v>0</v>
      </c>
      <c r="D174" s="83">
        <f>ROUND(D173/(D173+C173)*100,0)</f>
        <v>100</v>
      </c>
      <c r="E174" s="82">
        <f>ROUND(E173/(E173+F173)*100,0)</f>
        <v>0</v>
      </c>
      <c r="F174" s="83">
        <f>ROUND(F173/(F173+E173)*100,0)</f>
        <v>100</v>
      </c>
      <c r="G174" s="82">
        <f>ROUND(G173/(G173+H173)*100,0)</f>
        <v>0</v>
      </c>
      <c r="H174" s="84">
        <f>ROUND(H173/(H173+G173)*100,0)</f>
        <v>100</v>
      </c>
      <c r="I174" s="88">
        <f>ROUND(I173/(I173+J173)*100,0)</f>
        <v>0</v>
      </c>
      <c r="J174" s="89">
        <f>ROUND(J173/(J173+I173)*100,0)</f>
        <v>100</v>
      </c>
      <c r="K174" s="84">
        <f>ROUND(K173/(K173+L173)*100,0)</f>
        <v>0</v>
      </c>
      <c r="L174" s="83">
        <f>ROUND(L173/(L173+K173)*100,0)</f>
        <v>100</v>
      </c>
      <c r="M174" s="88">
        <f>ROUND(M173/(M173+N173)*100,0)</f>
        <v>0</v>
      </c>
      <c r="N174" s="89">
        <f>ROUND(N173/(N173+M173)*100,0)</f>
        <v>100</v>
      </c>
    </row>
    <row r="175" spans="1:18" s="11" customFormat="1" ht="15.75">
      <c r="A175" s="119">
        <v>2018</v>
      </c>
      <c r="B175" s="90" t="s">
        <v>5</v>
      </c>
      <c r="C175" s="23">
        <v>28193</v>
      </c>
      <c r="D175" s="23">
        <v>86654</v>
      </c>
      <c r="E175" s="23">
        <v>13068</v>
      </c>
      <c r="F175" s="24">
        <v>22045</v>
      </c>
      <c r="G175" s="23">
        <v>17728</v>
      </c>
      <c r="H175" s="24">
        <v>22803</v>
      </c>
      <c r="I175" s="23">
        <f>SUM(C175+E175+G175)</f>
        <v>58989</v>
      </c>
      <c r="J175" s="24">
        <f>SUM(D175+F175+H175)</f>
        <v>131502</v>
      </c>
      <c r="K175" s="23">
        <f>M175-I175</f>
        <v>9097</v>
      </c>
      <c r="L175" s="24">
        <f>N175-J175</f>
        <v>4186</v>
      </c>
      <c r="M175" s="23">
        <f>70141-2055</f>
        <v>68086</v>
      </c>
      <c r="N175" s="24">
        <f>136176-488</f>
        <v>135688</v>
      </c>
      <c r="O175" s="93"/>
      <c r="P175" s="111"/>
      <c r="Q175" s="14"/>
      <c r="R175" s="14"/>
    </row>
    <row r="176" spans="1:18" s="5" customFormat="1" ht="15.75" thickBot="1">
      <c r="A176" s="120"/>
      <c r="B176" s="51" t="s">
        <v>6</v>
      </c>
      <c r="C176" s="72">
        <f>ROUND(C175/(C175+D175)*100,0)</f>
        <v>25</v>
      </c>
      <c r="D176" s="73">
        <f>ROUND(D175/(D175+C175)*100,0)</f>
        <v>75</v>
      </c>
      <c r="E176" s="72">
        <f>ROUND(E175/(E175+F175)*100,0)</f>
        <v>37</v>
      </c>
      <c r="F176" s="73">
        <f>ROUND(F175/(F175+E175)*100,0)</f>
        <v>63</v>
      </c>
      <c r="G176" s="72">
        <f>ROUND(G175/(G175+F175)*100,0)</f>
        <v>45</v>
      </c>
      <c r="H176" s="73">
        <f>ROUND(H175/(H175+G175)*100,0)</f>
        <v>56</v>
      </c>
      <c r="I176" s="74">
        <f>ROUND(I175/(I175+J175)*100,0)</f>
        <v>31</v>
      </c>
      <c r="J176" s="75">
        <f>ROUND(J175/(J175+I175)*100,0)</f>
        <v>69</v>
      </c>
      <c r="K176" s="76">
        <f>ROUND(K175/(K175+L175)*100,0)</f>
        <v>68</v>
      </c>
      <c r="L176" s="77">
        <f>ROUND(L175/(L175+K175)*100,0)</f>
        <v>32</v>
      </c>
      <c r="M176" s="78">
        <f>ROUND(M175/(M175+N175)*100,0)</f>
        <v>33</v>
      </c>
      <c r="N176" s="79">
        <f>ROUND(N175/(N175+M175)*100,0)</f>
        <v>67</v>
      </c>
      <c r="Q176" s="15"/>
      <c r="R176" s="15"/>
    </row>
    <row r="177" spans="1:21" s="5" customFormat="1" ht="13.5" customHeight="1">
      <c r="A177" s="123" t="s">
        <v>8</v>
      </c>
      <c r="B177" s="20" t="s">
        <v>5</v>
      </c>
      <c r="C177" s="21">
        <v>10528</v>
      </c>
      <c r="D177" s="22">
        <v>3512</v>
      </c>
      <c r="E177" s="21">
        <v>3168</v>
      </c>
      <c r="F177" s="22">
        <v>1391</v>
      </c>
      <c r="G177" s="21">
        <v>4223</v>
      </c>
      <c r="H177" s="66">
        <v>2190</v>
      </c>
      <c r="I177" s="23">
        <f>SUM(C177+E177+G177)</f>
        <v>17919</v>
      </c>
      <c r="J177" s="24">
        <f>SUM(D177+F177+H177)</f>
        <v>7093</v>
      </c>
      <c r="K177" s="66">
        <f>M177-I177</f>
        <v>6197</v>
      </c>
      <c r="L177" s="22">
        <f>N177-J177</f>
        <v>1450</v>
      </c>
      <c r="M177" s="23">
        <f>24309-193</f>
        <v>24116</v>
      </c>
      <c r="N177" s="24">
        <f>8552-9</f>
        <v>8543</v>
      </c>
      <c r="P177" s="71"/>
      <c r="Q177" s="71"/>
      <c r="T177" s="71"/>
      <c r="U177" s="71"/>
    </row>
    <row r="178" spans="1:21" s="5" customFormat="1" ht="12.75">
      <c r="A178" s="121"/>
      <c r="B178" s="52" t="s">
        <v>6</v>
      </c>
      <c r="C178" s="80">
        <f>ROUND(C177/(C177+D177)*100,0)</f>
        <v>75</v>
      </c>
      <c r="D178" s="81">
        <f>ROUND(D177/(D177+C177)*100,0)</f>
        <v>25</v>
      </c>
      <c r="E178" s="80">
        <f>ROUND(E177/(E177+F177)*100,0)</f>
        <v>69</v>
      </c>
      <c r="F178" s="81">
        <f>ROUND(F177/(F177+E177)*100,0)</f>
        <v>31</v>
      </c>
      <c r="G178" s="80">
        <f>ROUND(G177/(G177+H177)*100,0)</f>
        <v>66</v>
      </c>
      <c r="H178" s="85">
        <f>ROUND(H177/(H177+G177)*100,0)</f>
        <v>34</v>
      </c>
      <c r="I178" s="86">
        <f>ROUND(I177/(I177+J177)*100,0)</f>
        <v>72</v>
      </c>
      <c r="J178" s="87">
        <f>ROUND(J177/(J177+I177)*100,0)</f>
        <v>28</v>
      </c>
      <c r="K178" s="85">
        <f>ROUND(K177/(K177+L177)*100,0)</f>
        <v>81</v>
      </c>
      <c r="L178" s="81">
        <f>ROUND(L177/(L177+K177)*100,0)</f>
        <v>19</v>
      </c>
      <c r="M178" s="86">
        <f>ROUND(M177/(M177+N177)*100,0)</f>
        <v>74</v>
      </c>
      <c r="N178" s="87">
        <f>ROUND(N177/(N177+M177)*100,0)</f>
        <v>26</v>
      </c>
      <c r="P178" s="71"/>
      <c r="Q178" s="71"/>
      <c r="R178" s="15"/>
      <c r="T178" s="71"/>
      <c r="U178" s="71"/>
    </row>
    <row r="179" spans="1:21" ht="15.75">
      <c r="A179" s="121" t="s">
        <v>9</v>
      </c>
      <c r="B179" s="29" t="s">
        <v>5</v>
      </c>
      <c r="C179" s="30">
        <v>17665</v>
      </c>
      <c r="D179" s="27">
        <v>21187</v>
      </c>
      <c r="E179" s="30">
        <v>9900</v>
      </c>
      <c r="F179" s="27">
        <v>13143</v>
      </c>
      <c r="G179" s="30">
        <v>13505</v>
      </c>
      <c r="H179" s="67">
        <v>10390</v>
      </c>
      <c r="I179" s="30">
        <f>SUM(C179+E179+G179)</f>
        <v>41070</v>
      </c>
      <c r="J179" s="27">
        <f>SUM(D179+F179+H179)</f>
        <v>44720</v>
      </c>
      <c r="K179" s="67">
        <f>M179-I179</f>
        <v>2900</v>
      </c>
      <c r="L179" s="27">
        <f>N179-J179</f>
        <v>1767</v>
      </c>
      <c r="M179" s="30">
        <f>45832-1862</f>
        <v>43970</v>
      </c>
      <c r="N179" s="27">
        <f>46540-53</f>
        <v>46487</v>
      </c>
      <c r="P179" s="3"/>
      <c r="Q179" s="3"/>
      <c r="R179" s="15"/>
      <c r="S179" s="5"/>
      <c r="T179" s="71"/>
      <c r="U179" s="71"/>
    </row>
    <row r="180" spans="1:21" ht="33" customHeight="1">
      <c r="A180" s="121"/>
      <c r="B180" s="52" t="s">
        <v>6</v>
      </c>
      <c r="C180" s="80">
        <f>ROUND(C179/(C179+D179)*100,0)</f>
        <v>45</v>
      </c>
      <c r="D180" s="81">
        <f>ROUND(D179/(D179+C179)*100,0)</f>
        <v>55</v>
      </c>
      <c r="E180" s="80">
        <f>ROUND(E179/(E179+F179)*100,0)</f>
        <v>43</v>
      </c>
      <c r="F180" s="81">
        <f>ROUND(F179/(F179+E179)*100,0)</f>
        <v>57</v>
      </c>
      <c r="G180" s="80">
        <f>ROUND(G179/(G179+H179)*100,0)</f>
        <v>57</v>
      </c>
      <c r="H180" s="85">
        <f>ROUND(H179/(H179+G179)*100,0)</f>
        <v>43</v>
      </c>
      <c r="I180" s="86">
        <f>ROUND(I179/(I179+J179)*100,0)</f>
        <v>48</v>
      </c>
      <c r="J180" s="87">
        <f>ROUND(J179/(J179+I179)*100,0)</f>
        <v>52</v>
      </c>
      <c r="K180" s="85">
        <f>ROUND(K179/(K179+L179)*100,0)</f>
        <v>62</v>
      </c>
      <c r="L180" s="81">
        <f>ROUND(L179/(L179+K179)*100,0)</f>
        <v>38</v>
      </c>
      <c r="M180" s="86">
        <f>ROUND(M179/(M179+N179)*100,0)</f>
        <v>49</v>
      </c>
      <c r="N180" s="87">
        <f>ROUND(N179/(N179+M179)*100,0)</f>
        <v>51</v>
      </c>
      <c r="P180" s="3"/>
      <c r="Q180" s="3"/>
      <c r="R180" s="13"/>
      <c r="T180" s="71"/>
      <c r="U180" s="71"/>
    </row>
    <row r="181" spans="1:21" ht="15.75">
      <c r="A181" s="121" t="s">
        <v>11</v>
      </c>
      <c r="B181" s="25" t="s">
        <v>5</v>
      </c>
      <c r="C181" s="41">
        <v>0</v>
      </c>
      <c r="D181" s="27">
        <v>61525</v>
      </c>
      <c r="E181" s="41">
        <v>0</v>
      </c>
      <c r="F181" s="27">
        <v>6775</v>
      </c>
      <c r="G181" s="41">
        <v>0</v>
      </c>
      <c r="H181" s="67">
        <v>10065</v>
      </c>
      <c r="I181" s="41">
        <f>SUM(C181+E181+G181)</f>
        <v>0</v>
      </c>
      <c r="J181" s="27">
        <f>SUM(D181+F181+H181)</f>
        <v>78365</v>
      </c>
      <c r="K181" s="69">
        <f>M181-I181</f>
        <v>0</v>
      </c>
      <c r="L181" s="42">
        <f>N181-J181</f>
        <v>850</v>
      </c>
      <c r="M181" s="41">
        <v>0</v>
      </c>
      <c r="N181" s="42">
        <f>79215-0</f>
        <v>79215</v>
      </c>
      <c r="P181" s="3"/>
      <c r="Q181" s="3"/>
      <c r="R181" s="13"/>
      <c r="T181" s="71"/>
      <c r="U181" s="71"/>
    </row>
    <row r="182" spans="1:21" ht="15">
      <c r="A182" s="121"/>
      <c r="B182" s="52" t="s">
        <v>6</v>
      </c>
      <c r="C182" s="80">
        <f>ROUND(C181/(C181+D181)*100,0)</f>
        <v>0</v>
      </c>
      <c r="D182" s="81">
        <f>ROUND(D181/(D181+C181)*100,0)</f>
        <v>100</v>
      </c>
      <c r="E182" s="80">
        <f>ROUND(E181/(E181+F181)*100,0)</f>
        <v>0</v>
      </c>
      <c r="F182" s="81">
        <f>ROUND(F181/(F181+E181)*100,0)</f>
        <v>100</v>
      </c>
      <c r="G182" s="80">
        <f>ROUND(G181/(G181+H181)*100,0)</f>
        <v>0</v>
      </c>
      <c r="H182" s="85">
        <f>ROUND(H181/(H181+G181)*100,0)</f>
        <v>100</v>
      </c>
      <c r="I182" s="86">
        <f>ROUND(I181/(I181+J181)*100,0)</f>
        <v>0</v>
      </c>
      <c r="J182" s="87">
        <f>ROUND(J181/(J181+I181)*100,0)</f>
        <v>100</v>
      </c>
      <c r="K182" s="85">
        <f>ROUND(K181/(K181+L181)*100,0)</f>
        <v>0</v>
      </c>
      <c r="L182" s="81">
        <f>ROUND(L181/(L181+K181)*100,0)</f>
        <v>100</v>
      </c>
      <c r="M182" s="86">
        <f>ROUND(M181/(M181+N181)*100,0)</f>
        <v>0</v>
      </c>
      <c r="N182" s="87">
        <f>ROUND(N181/(N181+M181)*100,0)</f>
        <v>100</v>
      </c>
      <c r="T182" s="71"/>
      <c r="U182" s="71"/>
    </row>
    <row r="183" spans="1:14" ht="15.75">
      <c r="A183" s="121" t="s">
        <v>10</v>
      </c>
      <c r="B183" s="29" t="s">
        <v>5</v>
      </c>
      <c r="C183" s="41">
        <v>0</v>
      </c>
      <c r="D183" s="27">
        <v>430</v>
      </c>
      <c r="E183" s="41">
        <v>0</v>
      </c>
      <c r="F183" s="27">
        <v>736</v>
      </c>
      <c r="G183" s="41">
        <v>0</v>
      </c>
      <c r="H183" s="67">
        <v>158</v>
      </c>
      <c r="I183" s="41">
        <f>SUM(C183+E183+G183)</f>
        <v>0</v>
      </c>
      <c r="J183" s="27">
        <f>SUM(D183+F183+H183)</f>
        <v>1324</v>
      </c>
      <c r="K183" s="69">
        <f>M183-I183</f>
        <v>0</v>
      </c>
      <c r="L183" s="42">
        <f>N183-J183</f>
        <v>119</v>
      </c>
      <c r="M183" s="41">
        <v>0</v>
      </c>
      <c r="N183" s="42">
        <f>1869-426</f>
        <v>1443</v>
      </c>
    </row>
    <row r="184" spans="1:14" ht="15.75" thickBot="1">
      <c r="A184" s="122"/>
      <c r="B184" s="61" t="s">
        <v>6</v>
      </c>
      <c r="C184" s="82">
        <f>ROUND(C183/(C183+D183)*100,0)</f>
        <v>0</v>
      </c>
      <c r="D184" s="83">
        <f>ROUND(D183/(D183+C183)*100,0)</f>
        <v>100</v>
      </c>
      <c r="E184" s="82">
        <f>ROUND(E183/(E183+F183)*100,0)</f>
        <v>0</v>
      </c>
      <c r="F184" s="83">
        <f>ROUND(F183/(F183+E183)*100,0)</f>
        <v>100</v>
      </c>
      <c r="G184" s="82">
        <f>ROUND(G183/(G183+H183)*100,0)</f>
        <v>0</v>
      </c>
      <c r="H184" s="84">
        <f>ROUND(H183/(H183+G183)*100,0)</f>
        <v>100</v>
      </c>
      <c r="I184" s="88">
        <f>ROUND(I183/(I183+J183)*100,0)</f>
        <v>0</v>
      </c>
      <c r="J184" s="89">
        <f>ROUND(J183/(J183+I183)*100,0)</f>
        <v>100</v>
      </c>
      <c r="K184" s="84">
        <f>ROUND(K183/(K183+L183)*100,0)</f>
        <v>0</v>
      </c>
      <c r="L184" s="83">
        <f>ROUND(L183/(L183+K183)*100,0)</f>
        <v>100</v>
      </c>
      <c r="M184" s="88">
        <f>ROUND(M183/(M183+N183)*100,0)</f>
        <v>0</v>
      </c>
      <c r="N184" s="89">
        <f>ROUND(N183/(N183+M183)*100,0)</f>
        <v>100</v>
      </c>
    </row>
    <row r="185" spans="1:14" ht="15.75">
      <c r="A185" s="119">
        <v>2019</v>
      </c>
      <c r="B185" s="90" t="s">
        <v>5</v>
      </c>
      <c r="C185" s="23">
        <f>SUM(C187+C189)</f>
        <v>27285</v>
      </c>
      <c r="D185" s="23">
        <f>SUM(D187+D189+D191+D193)</f>
        <v>87392</v>
      </c>
      <c r="E185" s="23">
        <f>SUM(E187+E189)</f>
        <v>12652</v>
      </c>
      <c r="F185" s="24">
        <f>SUM(F187+F189+F191+F193)</f>
        <v>22024</v>
      </c>
      <c r="G185" s="23">
        <f>SUM(G187+G189)</f>
        <v>17028</v>
      </c>
      <c r="H185" s="24">
        <f>SUM(H187+H189+H191+H193)</f>
        <v>23428</v>
      </c>
      <c r="I185" s="23">
        <f>SUM(C185+E185+G185)</f>
        <v>56965</v>
      </c>
      <c r="J185" s="24">
        <f>SUM(D185+F185+H185)</f>
        <v>132844</v>
      </c>
      <c r="K185" s="23">
        <f>M185-I185</f>
        <v>9063</v>
      </c>
      <c r="L185" s="24">
        <f>N185-J185</f>
        <v>4338</v>
      </c>
      <c r="M185" s="23">
        <f>68122-2094</f>
        <v>66028</v>
      </c>
      <c r="N185" s="24">
        <f>137660-478</f>
        <v>137182</v>
      </c>
    </row>
    <row r="186" spans="1:14" ht="15.75" thickBot="1">
      <c r="A186" s="120"/>
      <c r="B186" s="51" t="s">
        <v>6</v>
      </c>
      <c r="C186" s="72">
        <f>ROUND(C185/(C185+D185)*100,0)</f>
        <v>24</v>
      </c>
      <c r="D186" s="73">
        <f>ROUND(D185/(D185+C185)*100,0)</f>
        <v>76</v>
      </c>
      <c r="E186" s="72">
        <f>ROUND(E185/(E185+F185)*100,0)</f>
        <v>36</v>
      </c>
      <c r="F186" s="73">
        <f>ROUND(F185/(F185+E185)*100,0)</f>
        <v>64</v>
      </c>
      <c r="G186" s="72">
        <f>ROUND(G185/(G185+F185)*100,0)</f>
        <v>44</v>
      </c>
      <c r="H186" s="73">
        <f>ROUND(H185/(H185+G185)*100,0)</f>
        <v>58</v>
      </c>
      <c r="I186" s="74">
        <f>ROUND(I185/(I185+J185)*100,0)</f>
        <v>30</v>
      </c>
      <c r="J186" s="75">
        <f>ROUND(J185/(J185+I185)*100,0)</f>
        <v>70</v>
      </c>
      <c r="K186" s="76">
        <f>ROUND(K185/(K185+L185)*100,0)</f>
        <v>68</v>
      </c>
      <c r="L186" s="77">
        <f>ROUND(L185/(L185+K185)*100,0)</f>
        <v>32</v>
      </c>
      <c r="M186" s="78">
        <f>ROUND(M185/(M185+N185)*100,0)</f>
        <v>32</v>
      </c>
      <c r="N186" s="79">
        <f>ROUND(N185/(N185+M185)*100,0)</f>
        <v>68</v>
      </c>
    </row>
    <row r="187" spans="1:14" ht="15.75">
      <c r="A187" s="121" t="s">
        <v>8</v>
      </c>
      <c r="B187" s="20" t="s">
        <v>5</v>
      </c>
      <c r="C187" s="21">
        <v>10582</v>
      </c>
      <c r="D187" s="22">
        <v>3573</v>
      </c>
      <c r="E187" s="21">
        <v>3173</v>
      </c>
      <c r="F187" s="22">
        <v>1456</v>
      </c>
      <c r="G187" s="21">
        <v>4234</v>
      </c>
      <c r="H187" s="66">
        <v>2300</v>
      </c>
      <c r="I187" s="23">
        <f>SUM(C187+E187+G187)</f>
        <v>17989</v>
      </c>
      <c r="J187" s="24">
        <f>SUM(D187+F187+H187)</f>
        <v>7329</v>
      </c>
      <c r="K187" s="66">
        <f>M187-I187</f>
        <v>6180</v>
      </c>
      <c r="L187" s="22">
        <f>N187-J187</f>
        <v>1485</v>
      </c>
      <c r="M187" s="23">
        <f>24369-200</f>
        <v>24169</v>
      </c>
      <c r="N187" s="24">
        <f>8822-8</f>
        <v>8814</v>
      </c>
    </row>
    <row r="188" spans="1:14" ht="15">
      <c r="A188" s="121"/>
      <c r="B188" s="52" t="s">
        <v>6</v>
      </c>
      <c r="C188" s="80">
        <f>ROUND(C187/(C187+D187)*100,0)</f>
        <v>75</v>
      </c>
      <c r="D188" s="81">
        <f>ROUND(D187/(D187+C187)*100,0)</f>
        <v>25</v>
      </c>
      <c r="E188" s="80">
        <f>ROUND(E187/(E187+F187)*100,0)</f>
        <v>69</v>
      </c>
      <c r="F188" s="81">
        <f>ROUND(F187/(F187+E187)*100,0)</f>
        <v>31</v>
      </c>
      <c r="G188" s="80">
        <f>ROUND(G187/(G187+H187)*100,0)</f>
        <v>65</v>
      </c>
      <c r="H188" s="85">
        <f>ROUND(H187/(H187+G187)*100,0)</f>
        <v>35</v>
      </c>
      <c r="I188" s="86">
        <f>ROUND(I187/(I187+J187)*100,0)</f>
        <v>71</v>
      </c>
      <c r="J188" s="87">
        <f>ROUND(J187/(J187+I187)*100,0)</f>
        <v>29</v>
      </c>
      <c r="K188" s="85">
        <f>ROUND(K187/(K187+L187)*100,0)</f>
        <v>81</v>
      </c>
      <c r="L188" s="81">
        <f>ROUND(L187/(L187+K187)*100,0)</f>
        <v>19</v>
      </c>
      <c r="M188" s="86">
        <f>ROUND(M187/(M187+N187)*100,0)</f>
        <v>73</v>
      </c>
      <c r="N188" s="87">
        <f>ROUND(N187/(N187+M187)*100,0)</f>
        <v>27</v>
      </c>
    </row>
    <row r="189" spans="1:14" ht="15.75">
      <c r="A189" s="121" t="s">
        <v>9</v>
      </c>
      <c r="B189" s="29" t="s">
        <v>5</v>
      </c>
      <c r="C189" s="30">
        <v>16703</v>
      </c>
      <c r="D189" s="27">
        <v>21981</v>
      </c>
      <c r="E189" s="30">
        <v>9479</v>
      </c>
      <c r="F189" s="27">
        <v>13245</v>
      </c>
      <c r="G189" s="30">
        <v>12794</v>
      </c>
      <c r="H189" s="67">
        <v>10916</v>
      </c>
      <c r="I189" s="30">
        <f>SUM(C189+E189+G189)</f>
        <v>38976</v>
      </c>
      <c r="J189" s="27">
        <f>SUM(D189+F189+H189)</f>
        <v>46142</v>
      </c>
      <c r="K189" s="67">
        <f>M189-I189</f>
        <v>2883</v>
      </c>
      <c r="L189" s="27">
        <f>N189-J189</f>
        <v>1868</v>
      </c>
      <c r="M189" s="30">
        <f>43753-1894</f>
        <v>41859</v>
      </c>
      <c r="N189" s="27">
        <f>48063-53</f>
        <v>48010</v>
      </c>
    </row>
    <row r="190" spans="1:14" ht="15">
      <c r="A190" s="121"/>
      <c r="B190" s="52" t="s">
        <v>6</v>
      </c>
      <c r="C190" s="80">
        <f>ROUND(C189/(C189+D189)*100,0)</f>
        <v>43</v>
      </c>
      <c r="D190" s="81">
        <f>ROUND(D189/(D189+C189)*100,0)</f>
        <v>57</v>
      </c>
      <c r="E190" s="80">
        <f>ROUND(E189/(E189+F189)*100,0)</f>
        <v>42</v>
      </c>
      <c r="F190" s="81">
        <f>ROUND(F189/(F189+E189)*100,0)</f>
        <v>58</v>
      </c>
      <c r="G190" s="80">
        <f>ROUND(G189/(G189+H189)*100,0)</f>
        <v>54</v>
      </c>
      <c r="H190" s="85">
        <f>ROUND(H189/(H189+G189)*100,0)</f>
        <v>46</v>
      </c>
      <c r="I190" s="86">
        <f>ROUND(I189/(I189+J189)*100,0)</f>
        <v>46</v>
      </c>
      <c r="J190" s="87">
        <f>ROUND(J189/(J189+I189)*100,0)</f>
        <v>54</v>
      </c>
      <c r="K190" s="85">
        <f>ROUND(K189/(K189+L189)*100,0)</f>
        <v>61</v>
      </c>
      <c r="L190" s="81">
        <f>ROUND(L189/(L189+K189)*100,0)</f>
        <v>39</v>
      </c>
      <c r="M190" s="86">
        <f>ROUND(M189/(M189+N189)*100,0)</f>
        <v>47</v>
      </c>
      <c r="N190" s="87">
        <f>ROUND(N189/(N189+M189)*100,0)</f>
        <v>53</v>
      </c>
    </row>
    <row r="191" spans="1:14" ht="15.75">
      <c r="A191" s="121" t="s">
        <v>11</v>
      </c>
      <c r="B191" s="25" t="s">
        <v>5</v>
      </c>
      <c r="C191" s="41">
        <v>0</v>
      </c>
      <c r="D191" s="27">
        <v>61372</v>
      </c>
      <c r="E191" s="41">
        <v>0</v>
      </c>
      <c r="F191" s="27">
        <v>7095</v>
      </c>
      <c r="G191" s="41">
        <v>0</v>
      </c>
      <c r="H191" s="67">
        <v>9998</v>
      </c>
      <c r="I191" s="41">
        <f>SUM(C191+E191+G191)</f>
        <v>0</v>
      </c>
      <c r="J191" s="27">
        <f>SUM(D191+F191+H191)</f>
        <v>78465</v>
      </c>
      <c r="K191" s="69">
        <f>M191-I191</f>
        <v>0</v>
      </c>
      <c r="L191" s="42">
        <f>N191-J191</f>
        <v>893</v>
      </c>
      <c r="M191" s="41">
        <v>0</v>
      </c>
      <c r="N191" s="42">
        <v>79358</v>
      </c>
    </row>
    <row r="192" spans="1:14" ht="15">
      <c r="A192" s="121"/>
      <c r="B192" s="52" t="s">
        <v>6</v>
      </c>
      <c r="C192" s="80">
        <f>ROUND(C191/(C191+D191)*100,0)</f>
        <v>0</v>
      </c>
      <c r="D192" s="81">
        <f>ROUND(D191/(D191+C191)*100,0)</f>
        <v>100</v>
      </c>
      <c r="E192" s="80">
        <f>ROUND(E191/(E191+F191)*100,0)</f>
        <v>0</v>
      </c>
      <c r="F192" s="81">
        <f>ROUND(F191/(F191+E191)*100,0)</f>
        <v>100</v>
      </c>
      <c r="G192" s="80">
        <f>ROUND(G191/(G191+H191)*100,0)</f>
        <v>0</v>
      </c>
      <c r="H192" s="85">
        <f>ROUND(H191/(H191+G191)*100,0)</f>
        <v>100</v>
      </c>
      <c r="I192" s="86">
        <f>ROUND(I191/(I191+J191)*100,0)</f>
        <v>0</v>
      </c>
      <c r="J192" s="87">
        <f>ROUND(J191/(J191+I191)*100,0)</f>
        <v>100</v>
      </c>
      <c r="K192" s="85">
        <f>ROUND(K191/(K191+L191)*100,0)</f>
        <v>0</v>
      </c>
      <c r="L192" s="81">
        <f>ROUND(L191/(L191+K191)*100,0)</f>
        <v>100</v>
      </c>
      <c r="M192" s="86">
        <f>ROUND(M191/(M191+N191)*100,0)</f>
        <v>0</v>
      </c>
      <c r="N192" s="87">
        <f>ROUND(N191/(N191+M191)*100,0)</f>
        <v>100</v>
      </c>
    </row>
    <row r="193" spans="1:14" ht="15.75">
      <c r="A193" s="121" t="s">
        <v>10</v>
      </c>
      <c r="B193" s="29" t="s">
        <v>5</v>
      </c>
      <c r="C193" s="41">
        <v>0</v>
      </c>
      <c r="D193" s="27">
        <v>466</v>
      </c>
      <c r="E193" s="41">
        <v>0</v>
      </c>
      <c r="F193" s="27">
        <v>228</v>
      </c>
      <c r="G193" s="41">
        <v>0</v>
      </c>
      <c r="H193" s="67">
        <v>214</v>
      </c>
      <c r="I193" s="41">
        <f>SUM(C193+E193+G193)</f>
        <v>0</v>
      </c>
      <c r="J193" s="27">
        <f>SUM(D193+F193+H193)</f>
        <v>908</v>
      </c>
      <c r="K193" s="69">
        <f>M193-I193</f>
        <v>0</v>
      </c>
      <c r="L193" s="42">
        <f>N193-J193</f>
        <v>92</v>
      </c>
      <c r="M193" s="41">
        <v>0</v>
      </c>
      <c r="N193" s="42">
        <f>1417-417</f>
        <v>1000</v>
      </c>
    </row>
    <row r="194" spans="1:14" ht="15.75" thickBot="1">
      <c r="A194" s="122"/>
      <c r="B194" s="61" t="s">
        <v>6</v>
      </c>
      <c r="C194" s="82">
        <f>ROUND(C193/(C193+D193)*100,0)</f>
        <v>0</v>
      </c>
      <c r="D194" s="83">
        <f>ROUND(D193/(D193+C193)*100,0)</f>
        <v>100</v>
      </c>
      <c r="E194" s="82">
        <f>ROUND(E193/(E193+F193)*100,0)</f>
        <v>0</v>
      </c>
      <c r="F194" s="83">
        <f>ROUND(F193/(F193+E193)*100,0)</f>
        <v>100</v>
      </c>
      <c r="G194" s="82">
        <f>ROUND(G193/(G193+H193)*100,0)</f>
        <v>0</v>
      </c>
      <c r="H194" s="84">
        <f>ROUND(H193/(H193+G193)*100,0)</f>
        <v>100</v>
      </c>
      <c r="I194" s="88">
        <f>ROUND(I193/(I193+J193)*100,0)</f>
        <v>0</v>
      </c>
      <c r="J194" s="89">
        <f>ROUND(J193/(J193+I193)*100,0)</f>
        <v>100</v>
      </c>
      <c r="K194" s="84">
        <f>ROUND(K193/(K193+L193)*100,0)</f>
        <v>0</v>
      </c>
      <c r="L194" s="83">
        <f>ROUND(L193/(L193+K193)*100,0)</f>
        <v>100</v>
      </c>
      <c r="M194" s="88">
        <f>ROUND(M193/(M193+N193)*100,0)</f>
        <v>0</v>
      </c>
      <c r="N194" s="89">
        <f>ROUND(N193/(N193+M193)*100,0)</f>
        <v>100</v>
      </c>
    </row>
    <row r="195" spans="1:14" ht="15.75">
      <c r="A195" s="119">
        <v>2020</v>
      </c>
      <c r="B195" s="90" t="s">
        <v>5</v>
      </c>
      <c r="C195" s="23">
        <f>SUM(C197,C199)</f>
        <v>28019</v>
      </c>
      <c r="D195" s="23">
        <f>SUM(D197,D199,D201,D203)</f>
        <v>86799</v>
      </c>
      <c r="E195" s="23">
        <f>SUM(E197,E199)</f>
        <v>12219</v>
      </c>
      <c r="F195" s="24">
        <f>SUM(F197,F199,F201,F203)</f>
        <v>22606</v>
      </c>
      <c r="G195" s="23">
        <f>SUM(G197,G199)</f>
        <v>16420</v>
      </c>
      <c r="H195" s="24">
        <f>SUM(H197,H199,H201,H203)</f>
        <v>23775</v>
      </c>
      <c r="I195" s="23">
        <f>SUM(I197,I199)</f>
        <v>56658</v>
      </c>
      <c r="J195" s="24">
        <f>SUM(J197,J199,J201,J203)</f>
        <v>133180</v>
      </c>
      <c r="K195" s="23">
        <f>SUM(K197,K199)</f>
        <v>9135</v>
      </c>
      <c r="L195" s="24">
        <f>SUM(L197,L199,L201,L203)</f>
        <v>4281</v>
      </c>
      <c r="M195" s="23">
        <f>SUM(M197,M199)</f>
        <v>65793</v>
      </c>
      <c r="N195" s="24">
        <f>SUM(N197,N199,N201,N203)</f>
        <v>137461</v>
      </c>
    </row>
    <row r="196" spans="1:14" ht="15.75" thickBot="1">
      <c r="A196" s="120"/>
      <c r="B196" s="51" t="s">
        <v>6</v>
      </c>
      <c r="C196" s="72">
        <f>ROUND(C195/(C195+D195)*100,0)</f>
        <v>24</v>
      </c>
      <c r="D196" s="73">
        <f>ROUND(D195/(D195+C195)*100,0)</f>
        <v>76</v>
      </c>
      <c r="E196" s="72">
        <f>ROUND(E195/(E195+F195)*100,0)</f>
        <v>35</v>
      </c>
      <c r="F196" s="73">
        <f>ROUND(F195/(F195+E195)*100,0)</f>
        <v>65</v>
      </c>
      <c r="G196" s="72">
        <f>ROUND(G195/(G195+H195)*100,0)</f>
        <v>41</v>
      </c>
      <c r="H196" s="73">
        <f>ROUND(H195/(H195+G195)*100,0)</f>
        <v>59</v>
      </c>
      <c r="I196" s="74">
        <f>ROUND(I195/(I195+J195)*100,0)</f>
        <v>30</v>
      </c>
      <c r="J196" s="75">
        <f>ROUND(J195/(J195+I195)*100,0)</f>
        <v>70</v>
      </c>
      <c r="K196" s="76">
        <f>ROUND(K195/(K195+L195)*100,0)</f>
        <v>68</v>
      </c>
      <c r="L196" s="77">
        <f>ROUND(L195/(L195+K195)*100,0)</f>
        <v>32</v>
      </c>
      <c r="M196" s="78">
        <f>ROUND(M195/(M195+N195)*100,0)</f>
        <v>32</v>
      </c>
      <c r="N196" s="79">
        <f>ROUND(N195/(N195+M195)*100,0)</f>
        <v>68</v>
      </c>
    </row>
    <row r="197" spans="1:14" ht="15.75">
      <c r="A197" s="121" t="s">
        <v>8</v>
      </c>
      <c r="B197" s="20" t="s">
        <v>5</v>
      </c>
      <c r="C197" s="21">
        <v>10633</v>
      </c>
      <c r="D197" s="22">
        <v>3676</v>
      </c>
      <c r="E197" s="21">
        <v>3162</v>
      </c>
      <c r="F197" s="22">
        <v>1527</v>
      </c>
      <c r="G197" s="21">
        <v>4207</v>
      </c>
      <c r="H197" s="66">
        <v>2345</v>
      </c>
      <c r="I197" s="23">
        <f>SUM(G197,E197,C197)</f>
        <v>18002</v>
      </c>
      <c r="J197" s="24">
        <f>SUM(H197,F197,D197)</f>
        <v>7548</v>
      </c>
      <c r="K197" s="66">
        <f>M197-I197</f>
        <v>6260</v>
      </c>
      <c r="L197" s="22">
        <f>N197-J197</f>
        <v>1467</v>
      </c>
      <c r="M197" s="23">
        <f>24467-205</f>
        <v>24262</v>
      </c>
      <c r="N197" s="24">
        <f>9020-5</f>
        <v>9015</v>
      </c>
    </row>
    <row r="198" spans="1:14" ht="15">
      <c r="A198" s="121"/>
      <c r="B198" s="52" t="s">
        <v>6</v>
      </c>
      <c r="C198" s="80">
        <f>ROUND(C197/(C197+D197)*100,0)</f>
        <v>74</v>
      </c>
      <c r="D198" s="81">
        <f>ROUND(D197/(D197+C197)*100,0)</f>
        <v>26</v>
      </c>
      <c r="E198" s="80">
        <f>ROUND(E197/(E197+F197)*100,0)</f>
        <v>67</v>
      </c>
      <c r="F198" s="81">
        <f>ROUND(F197/(F197+E197)*100,0)</f>
        <v>33</v>
      </c>
      <c r="G198" s="80">
        <f>ROUND(G197/(G197+H197)*100,0)</f>
        <v>64</v>
      </c>
      <c r="H198" s="85">
        <f>ROUND(H197/(H197+G197)*100,0)</f>
        <v>36</v>
      </c>
      <c r="I198" s="86">
        <f>ROUND(I197/(I197+J197)*100,0)</f>
        <v>70</v>
      </c>
      <c r="J198" s="87">
        <f>ROUND(J197/(J197+I197)*100,0)</f>
        <v>30</v>
      </c>
      <c r="K198" s="85">
        <f>ROUND(K197/(K197+L197)*100,0)</f>
        <v>81</v>
      </c>
      <c r="L198" s="81">
        <f>ROUND(L197/(L197+K197)*100,0)</f>
        <v>19</v>
      </c>
      <c r="M198" s="86">
        <f>ROUND(M197/(M197+N197)*100,0)</f>
        <v>73</v>
      </c>
      <c r="N198" s="87">
        <f>ROUND(N197/(N197+M197)*100,0)</f>
        <v>27</v>
      </c>
    </row>
    <row r="199" spans="1:14" ht="15.75">
      <c r="A199" s="121" t="s">
        <v>9</v>
      </c>
      <c r="B199" s="29" t="s">
        <v>5</v>
      </c>
      <c r="C199" s="30">
        <v>17386</v>
      </c>
      <c r="D199" s="27">
        <v>21142</v>
      </c>
      <c r="E199" s="30">
        <v>9057</v>
      </c>
      <c r="F199" s="27">
        <v>13790</v>
      </c>
      <c r="G199" s="30">
        <v>12213</v>
      </c>
      <c r="H199" s="67">
        <v>11119</v>
      </c>
      <c r="I199" s="30">
        <f>SUM(G199,E199,C199)</f>
        <v>38656</v>
      </c>
      <c r="J199" s="27">
        <f>SUM(H199,F199,D199)</f>
        <v>46051</v>
      </c>
      <c r="K199" s="67">
        <f>M199-I199</f>
        <v>2875</v>
      </c>
      <c r="L199" s="27">
        <f>N199-J199</f>
        <v>1839</v>
      </c>
      <c r="M199" s="30">
        <f>43431-1900</f>
        <v>41531</v>
      </c>
      <c r="N199" s="27">
        <f>47949-59</f>
        <v>47890</v>
      </c>
    </row>
    <row r="200" spans="1:14" ht="15">
      <c r="A200" s="121"/>
      <c r="B200" s="52" t="s">
        <v>6</v>
      </c>
      <c r="C200" s="80">
        <f>ROUND(C199/(C199+D199)*100,0)</f>
        <v>45</v>
      </c>
      <c r="D200" s="81">
        <f>ROUND(D199/(D199+C199)*100,0)</f>
        <v>55</v>
      </c>
      <c r="E200" s="80">
        <f>ROUND(E199/(E199+F199)*100,0)</f>
        <v>40</v>
      </c>
      <c r="F200" s="81">
        <f>ROUND(F199/(F199+E199)*100,0)</f>
        <v>60</v>
      </c>
      <c r="G200" s="80">
        <f>ROUND(G199/(G199+H199)*100,0)</f>
        <v>52</v>
      </c>
      <c r="H200" s="85">
        <f>ROUND(H199/(H199+G199)*100,0)</f>
        <v>48</v>
      </c>
      <c r="I200" s="86">
        <f>ROUND(I199/(I199+J199)*100,0)</f>
        <v>46</v>
      </c>
      <c r="J200" s="87">
        <f>ROUND(J199/(J199+I199)*100,0)</f>
        <v>54</v>
      </c>
      <c r="K200" s="85">
        <f>ROUND(K199/(K199+L199)*100,0)</f>
        <v>61</v>
      </c>
      <c r="L200" s="81">
        <f>ROUND(L199/(L199+K199)*100,0)</f>
        <v>39</v>
      </c>
      <c r="M200" s="86">
        <f>ROUND(M199/(M199+N199)*100,0)</f>
        <v>46</v>
      </c>
      <c r="N200" s="87">
        <f>ROUND(N199/(N199+M199)*100,0)</f>
        <v>54</v>
      </c>
    </row>
    <row r="201" spans="1:14" ht="15.75">
      <c r="A201" s="121" t="s">
        <v>11</v>
      </c>
      <c r="B201" s="25" t="s">
        <v>5</v>
      </c>
      <c r="C201" s="41">
        <v>0</v>
      </c>
      <c r="D201" s="27">
        <v>61491</v>
      </c>
      <c r="E201" s="41">
        <v>0</v>
      </c>
      <c r="F201" s="27">
        <v>7147</v>
      </c>
      <c r="G201" s="41">
        <v>0</v>
      </c>
      <c r="H201" s="67">
        <v>10086</v>
      </c>
      <c r="I201" s="41">
        <f>SUM(G201,E201,C201)</f>
        <v>0</v>
      </c>
      <c r="J201" s="27">
        <f>SUM(H201,F201,D201)</f>
        <v>78724</v>
      </c>
      <c r="K201" s="69">
        <v>0</v>
      </c>
      <c r="L201" s="42">
        <f>N201-J201</f>
        <v>897</v>
      </c>
      <c r="M201" s="41">
        <v>0</v>
      </c>
      <c r="N201" s="42">
        <v>79621</v>
      </c>
    </row>
    <row r="202" spans="1:14" ht="15">
      <c r="A202" s="121"/>
      <c r="B202" s="52" t="s">
        <v>6</v>
      </c>
      <c r="C202" s="80">
        <f>ROUND(C201/(C201+D201)*100,0)</f>
        <v>0</v>
      </c>
      <c r="D202" s="81">
        <f>ROUND(D201/(D201+C201)*100,0)</f>
        <v>100</v>
      </c>
      <c r="E202" s="80">
        <f>ROUND(E201/(E201+F201)*100,0)</f>
        <v>0</v>
      </c>
      <c r="F202" s="81">
        <f>ROUND(F201/(F201+E201)*100,0)</f>
        <v>100</v>
      </c>
      <c r="G202" s="80">
        <f>ROUND(G201/(G201+H201)*100,0)</f>
        <v>0</v>
      </c>
      <c r="H202" s="85">
        <f>ROUND(H201/(H201+G201)*100,0)</f>
        <v>100</v>
      </c>
      <c r="I202" s="86">
        <f>ROUND(I201/(I201+J201)*100,0)</f>
        <v>0</v>
      </c>
      <c r="J202" s="87">
        <f>ROUND(J201/(J201+I201)*100,0)</f>
        <v>100</v>
      </c>
      <c r="K202" s="85">
        <f>ROUND(K201/(K201+L201)*100,0)</f>
        <v>0</v>
      </c>
      <c r="L202" s="81">
        <f>ROUND(L201/(L201+K201)*100,0)</f>
        <v>100</v>
      </c>
      <c r="M202" s="86">
        <f>ROUND(M201/(M201+N201)*100,0)</f>
        <v>0</v>
      </c>
      <c r="N202" s="87">
        <f>ROUND(N201/(N201+M201)*100,0)</f>
        <v>100</v>
      </c>
    </row>
    <row r="203" spans="1:14" ht="15.75">
      <c r="A203" s="121" t="s">
        <v>10</v>
      </c>
      <c r="B203" s="29" t="s">
        <v>5</v>
      </c>
      <c r="C203" s="41">
        <v>0</v>
      </c>
      <c r="D203" s="27">
        <v>490</v>
      </c>
      <c r="E203" s="41">
        <v>0</v>
      </c>
      <c r="F203" s="27">
        <v>142</v>
      </c>
      <c r="G203" s="41">
        <v>0</v>
      </c>
      <c r="H203" s="67">
        <v>225</v>
      </c>
      <c r="I203" s="41">
        <f>SUM(G203,E203,C203)</f>
        <v>0</v>
      </c>
      <c r="J203" s="27">
        <f>SUM(H203,F203,D203)</f>
        <v>857</v>
      </c>
      <c r="K203" s="69">
        <v>0</v>
      </c>
      <c r="L203" s="42">
        <f>N203-J203</f>
        <v>78</v>
      </c>
      <c r="M203" s="41">
        <v>0</v>
      </c>
      <c r="N203" s="42">
        <f>1365-430</f>
        <v>935</v>
      </c>
    </row>
    <row r="204" spans="1:14" ht="15.75" thickBot="1">
      <c r="A204" s="122"/>
      <c r="B204" s="61" t="s">
        <v>6</v>
      </c>
      <c r="C204" s="82">
        <f>ROUND(C203/(C203+D203)*100,0)</f>
        <v>0</v>
      </c>
      <c r="D204" s="83">
        <f>ROUND(D203/(D203+C203)*100,0)</f>
        <v>100</v>
      </c>
      <c r="E204" s="82">
        <f>ROUND(E203/(E203+F203)*100,0)</f>
        <v>0</v>
      </c>
      <c r="F204" s="83">
        <f>ROUND(F203/(F203+E203)*100,0)</f>
        <v>100</v>
      </c>
      <c r="G204" s="82">
        <f>ROUND(G203/(G203+H203)*100,0)</f>
        <v>0</v>
      </c>
      <c r="H204" s="84">
        <f>ROUND(H203/(H203+G203)*100,0)</f>
        <v>100</v>
      </c>
      <c r="I204" s="88">
        <f>ROUND(I203/(I203+J203)*100,0)</f>
        <v>0</v>
      </c>
      <c r="J204" s="89">
        <f>ROUND(J203/(J203+I203)*100,0)</f>
        <v>100</v>
      </c>
      <c r="K204" s="84">
        <f>ROUND(K203/(K203+L203)*100,0)</f>
        <v>0</v>
      </c>
      <c r="L204" s="83">
        <f>ROUND(L203/(L203+K203)*100,0)</f>
        <v>100</v>
      </c>
      <c r="M204" s="88">
        <f>ROUND(M203/(M203+N203)*100,0)</f>
        <v>0</v>
      </c>
      <c r="N204" s="89">
        <f>ROUND(N203/(N203+M203)*100,0)</f>
        <v>100</v>
      </c>
    </row>
    <row r="205" spans="1:14" ht="15.75">
      <c r="A205" s="119">
        <v>2021</v>
      </c>
      <c r="B205" s="90" t="s">
        <v>5</v>
      </c>
      <c r="C205" s="23">
        <f>SUM(C207,C209)</f>
        <v>27873.18887924595</v>
      </c>
      <c r="D205" s="23">
        <f>SUM(D207,D209,D211,D213)</f>
        <v>87166.56112075406</v>
      </c>
      <c r="E205" s="23">
        <f>SUM(E207,E209)</f>
        <v>12039.848740861098</v>
      </c>
      <c r="F205" s="24">
        <f>SUM(F207,F209,F211,F213)</f>
        <v>23188.15125913891</v>
      </c>
      <c r="G205" s="23">
        <f>SUM(G207,G209)</f>
        <v>15923.591607022672</v>
      </c>
      <c r="H205" s="24">
        <f>SUM(H207,H209,H211,H213)</f>
        <v>24166.325059643994</v>
      </c>
      <c r="I205" s="23">
        <f>SUM(I207,I209)</f>
        <v>55836.62922712972</v>
      </c>
      <c r="J205" s="24">
        <f>SUM(J207,J209,J211,J213)</f>
        <v>134521.03743953694</v>
      </c>
      <c r="K205" s="23">
        <f>SUM(K207,K209)</f>
        <v>8786.37077287028</v>
      </c>
      <c r="L205" s="24">
        <f>SUM(L207,L209,L211,L213)</f>
        <v>4692.545893796383</v>
      </c>
      <c r="M205" s="23">
        <f>SUM(M207,M209)</f>
        <v>64623</v>
      </c>
      <c r="N205" s="24">
        <f>SUM(N207,N209,N211,N213)</f>
        <v>139213.58333333334</v>
      </c>
    </row>
    <row r="206" spans="1:14" ht="15.75" thickBot="1">
      <c r="A206" s="120"/>
      <c r="B206" s="51" t="s">
        <v>6</v>
      </c>
      <c r="C206" s="72">
        <f>ROUND(C205/(C205+D205)*100,0)</f>
        <v>24</v>
      </c>
      <c r="D206" s="73">
        <f>ROUND(D205/(D205+C205)*100,0)</f>
        <v>76</v>
      </c>
      <c r="E206" s="72">
        <f>ROUND(E205/(E205+F205)*100,0)</f>
        <v>34</v>
      </c>
      <c r="F206" s="73">
        <f>ROUND(F205/(F205+E205)*100,0)</f>
        <v>66</v>
      </c>
      <c r="G206" s="72">
        <f>ROUND(G205/(G205+H205)*100,0)</f>
        <v>40</v>
      </c>
      <c r="H206" s="73">
        <f>ROUND(H205/(H205+G205)*100,0)</f>
        <v>60</v>
      </c>
      <c r="I206" s="74">
        <f>ROUND(I205/(I205+J205)*100,0)</f>
        <v>29</v>
      </c>
      <c r="J206" s="75">
        <f>ROUND(J205/(J205+I205)*100,0)</f>
        <v>71</v>
      </c>
      <c r="K206" s="76">
        <f>ROUND(K205/(K205+L205)*100,0)</f>
        <v>65</v>
      </c>
      <c r="L206" s="77">
        <f>ROUND(L205/(L205+K205)*100,0)</f>
        <v>35</v>
      </c>
      <c r="M206" s="78">
        <f>ROUND(M205/(M205+N205)*100,0)</f>
        <v>32</v>
      </c>
      <c r="N206" s="79">
        <f>ROUND(N205/(N205+M205)*100,0)</f>
        <v>68</v>
      </c>
    </row>
    <row r="207" spans="1:14" ht="15.75">
      <c r="A207" s="121" t="s">
        <v>8</v>
      </c>
      <c r="B207" s="20" t="s">
        <v>5</v>
      </c>
      <c r="C207" s="21">
        <v>10690.850811969138</v>
      </c>
      <c r="D207" s="22">
        <v>3758.0658546975283</v>
      </c>
      <c r="E207" s="21">
        <v>3175.4464710025313</v>
      </c>
      <c r="F207" s="22">
        <v>1610.8035289974682</v>
      </c>
      <c r="G207" s="21">
        <v>4032.039949185904</v>
      </c>
      <c r="H207" s="66">
        <v>2613.876717480763</v>
      </c>
      <c r="I207" s="23">
        <f>SUM(G207,E207,C207)</f>
        <v>17898.337232157573</v>
      </c>
      <c r="J207" s="24">
        <f>SUM(H207,F207,D207)</f>
        <v>7982.74610117576</v>
      </c>
      <c r="K207" s="66">
        <f>M207-I207</f>
        <v>6056.662767842427</v>
      </c>
      <c r="L207" s="22">
        <f>N207-J207</f>
        <v>1776.2538988242404</v>
      </c>
      <c r="M207" s="23">
        <f>24166-211</f>
        <v>23955</v>
      </c>
      <c r="N207" s="24">
        <f>9766-7</f>
        <v>9759</v>
      </c>
    </row>
    <row r="208" spans="1:14" ht="15">
      <c r="A208" s="121"/>
      <c r="B208" s="52" t="s">
        <v>6</v>
      </c>
      <c r="C208" s="80">
        <f>ROUND(C207/(C207+D207)*100,0)</f>
        <v>74</v>
      </c>
      <c r="D208" s="81">
        <f>ROUND(D207/(D207+C207)*100,0)</f>
        <v>26</v>
      </c>
      <c r="E208" s="80">
        <f>ROUND(E207/(E207+F207)*100,0)</f>
        <v>66</v>
      </c>
      <c r="F208" s="81">
        <f>ROUND(F207/(F207+E207)*100,0)</f>
        <v>34</v>
      </c>
      <c r="G208" s="80">
        <f>ROUND(G207/(G207+H207)*100,0)</f>
        <v>61</v>
      </c>
      <c r="H208" s="85">
        <f>ROUND(H207/(H207+G207)*100,0)</f>
        <v>39</v>
      </c>
      <c r="I208" s="86">
        <f>ROUND(I207/(I207+J207)*100,0)</f>
        <v>69</v>
      </c>
      <c r="J208" s="87">
        <f>ROUND(J207/(J207+I207)*100,0)</f>
        <v>31</v>
      </c>
      <c r="K208" s="85">
        <f>ROUND(K207/(K207+L207)*100,0)</f>
        <v>77</v>
      </c>
      <c r="L208" s="81">
        <f>ROUND(L207/(L207+K207)*100,0)</f>
        <v>23</v>
      </c>
      <c r="M208" s="86">
        <f>ROUND(M207/(M207+N207)*100,0)</f>
        <v>71</v>
      </c>
      <c r="N208" s="87">
        <f>ROUND(N207/(N207+M207)*100,0)</f>
        <v>29</v>
      </c>
    </row>
    <row r="209" spans="1:14" ht="15.75">
      <c r="A209" s="121" t="s">
        <v>9</v>
      </c>
      <c r="B209" s="29" t="s">
        <v>5</v>
      </c>
      <c r="C209" s="30">
        <v>17182.33806727681</v>
      </c>
      <c r="D209" s="27">
        <v>21539.328599389857</v>
      </c>
      <c r="E209" s="30">
        <v>8864.402269858567</v>
      </c>
      <c r="F209" s="27">
        <v>14033.181063474774</v>
      </c>
      <c r="G209" s="30">
        <v>11891.551657836768</v>
      </c>
      <c r="H209" s="67">
        <v>11294.281675496564</v>
      </c>
      <c r="I209" s="30">
        <f>SUM(G209,E209,C209)</f>
        <v>37938.29199497215</v>
      </c>
      <c r="J209" s="27">
        <f>SUM(H209,F209,D209)</f>
        <v>46866.791338361196</v>
      </c>
      <c r="K209" s="67">
        <f>M209-I209</f>
        <v>2729.708005027853</v>
      </c>
      <c r="L209" s="27">
        <f>N209-J209</f>
        <v>1956.2086616388042</v>
      </c>
      <c r="M209" s="30">
        <f>42584-1916</f>
        <v>40668</v>
      </c>
      <c r="N209" s="27">
        <f>48886-63</f>
        <v>48823</v>
      </c>
    </row>
    <row r="210" spans="1:14" ht="15">
      <c r="A210" s="121"/>
      <c r="B210" s="52" t="s">
        <v>6</v>
      </c>
      <c r="C210" s="80">
        <f>ROUND(C209/(C209+D209)*100,0)</f>
        <v>44</v>
      </c>
      <c r="D210" s="81">
        <f>ROUND(D209/(D209+C209)*100,0)</f>
        <v>56</v>
      </c>
      <c r="E210" s="80">
        <f>ROUND(E209/(E209+F209)*100,0)</f>
        <v>39</v>
      </c>
      <c r="F210" s="81">
        <f>ROUND(F209/(F209+E209)*100,0)</f>
        <v>61</v>
      </c>
      <c r="G210" s="80">
        <f>ROUND(G209/(G209+H209)*100,0)</f>
        <v>51</v>
      </c>
      <c r="H210" s="85">
        <f>ROUND(H209/(H209+G209)*100,0)</f>
        <v>49</v>
      </c>
      <c r="I210" s="86">
        <f>ROUND(I209/(I209+J209)*100,0)</f>
        <v>45</v>
      </c>
      <c r="J210" s="87">
        <f>ROUND(J209/(J209+I209)*100,0)</f>
        <v>55</v>
      </c>
      <c r="K210" s="85">
        <f>ROUND(K209/(K209+L209)*100,0)</f>
        <v>58</v>
      </c>
      <c r="L210" s="81">
        <f>ROUND(L209/(L209+K209)*100,0)</f>
        <v>42</v>
      </c>
      <c r="M210" s="86">
        <f>ROUND(M209/(M209+N209)*100,0)</f>
        <v>45</v>
      </c>
      <c r="N210" s="87">
        <f>ROUND(N209/(N209+M209)*100,0)</f>
        <v>55</v>
      </c>
    </row>
    <row r="211" spans="1:14" ht="15.75">
      <c r="A211" s="121" t="s">
        <v>11</v>
      </c>
      <c r="B211" s="25" t="s">
        <v>5</v>
      </c>
      <c r="C211" s="41">
        <v>0</v>
      </c>
      <c r="D211" s="27">
        <v>61393.5</v>
      </c>
      <c r="E211" s="41">
        <v>0</v>
      </c>
      <c r="F211" s="27">
        <v>7397.416666666666</v>
      </c>
      <c r="G211" s="41">
        <v>0</v>
      </c>
      <c r="H211" s="67">
        <v>10147.666666666666</v>
      </c>
      <c r="I211" s="41">
        <f>SUM(G211,E211,C211)</f>
        <v>0</v>
      </c>
      <c r="J211" s="27">
        <f>SUM(H211,F211,D211)</f>
        <v>78938.58333333333</v>
      </c>
      <c r="K211" s="69">
        <v>0</v>
      </c>
      <c r="L211" s="42">
        <f>N211-J211</f>
        <v>882.4166666666715</v>
      </c>
      <c r="M211" s="41">
        <v>0</v>
      </c>
      <c r="N211" s="42">
        <v>79821</v>
      </c>
    </row>
    <row r="212" spans="1:14" ht="15">
      <c r="A212" s="121"/>
      <c r="B212" s="52" t="s">
        <v>6</v>
      </c>
      <c r="C212" s="80">
        <f>ROUND(C211/(C211+D211)*100,0)</f>
        <v>0</v>
      </c>
      <c r="D212" s="81">
        <f>ROUND(D211/(D211+C211)*100,0)</f>
        <v>100</v>
      </c>
      <c r="E212" s="80">
        <f>ROUND(E211/(E211+F211)*100,0)</f>
        <v>0</v>
      </c>
      <c r="F212" s="81">
        <f>ROUND(F211/(F211+E211)*100,0)</f>
        <v>100</v>
      </c>
      <c r="G212" s="80">
        <f>ROUND(G211/(G211+H211)*100,0)</f>
        <v>0</v>
      </c>
      <c r="H212" s="85">
        <f>ROUND(H211/(H211+G211)*100,0)</f>
        <v>100</v>
      </c>
      <c r="I212" s="86">
        <f>ROUND(I211/(I211+J211)*100,0)</f>
        <v>0</v>
      </c>
      <c r="J212" s="87">
        <f>ROUND(J211/(J211+I211)*100,0)</f>
        <v>100</v>
      </c>
      <c r="K212" s="85">
        <f>ROUND(K211/(K211+L211)*100,0)</f>
        <v>0</v>
      </c>
      <c r="L212" s="81">
        <f>ROUND(L211/(L211+K211)*100,0)</f>
        <v>100</v>
      </c>
      <c r="M212" s="86">
        <f>ROUND(M211/(M211+N211)*100,0)</f>
        <v>0</v>
      </c>
      <c r="N212" s="87">
        <f>ROUND(N211/(N211+M211)*100,0)</f>
        <v>100</v>
      </c>
    </row>
    <row r="213" spans="1:14" ht="15.75">
      <c r="A213" s="121" t="s">
        <v>10</v>
      </c>
      <c r="B213" s="29" t="s">
        <v>5</v>
      </c>
      <c r="C213" s="41">
        <v>0</v>
      </c>
      <c r="D213" s="27">
        <v>475.6666666666667</v>
      </c>
      <c r="E213" s="41">
        <v>0</v>
      </c>
      <c r="F213" s="27">
        <v>146.75</v>
      </c>
      <c r="G213" s="41">
        <v>0</v>
      </c>
      <c r="H213" s="67">
        <v>110.5</v>
      </c>
      <c r="I213" s="41">
        <f>SUM(G213,E213,C213)</f>
        <v>0</v>
      </c>
      <c r="J213" s="27">
        <f>SUM(H213,F213,D213)</f>
        <v>732.9166666666667</v>
      </c>
      <c r="K213" s="69">
        <v>0</v>
      </c>
      <c r="L213" s="42">
        <f>N213-J213</f>
        <v>77.66666666666652</v>
      </c>
      <c r="M213" s="41">
        <v>0</v>
      </c>
      <c r="N213" s="42">
        <v>810.5833333333333</v>
      </c>
    </row>
    <row r="214" spans="1:14" ht="15.75" thickBot="1">
      <c r="A214" s="122"/>
      <c r="B214" s="61" t="s">
        <v>6</v>
      </c>
      <c r="C214" s="82">
        <f>ROUND(C213/(C213+D213)*100,0)</f>
        <v>0</v>
      </c>
      <c r="D214" s="83">
        <f>ROUND(D213/(D213+C213)*100,0)</f>
        <v>100</v>
      </c>
      <c r="E214" s="82">
        <f>ROUND(E213/(E213+F213)*100,0)</f>
        <v>0</v>
      </c>
      <c r="F214" s="83">
        <f>ROUND(F213/(F213+E213)*100,0)</f>
        <v>100</v>
      </c>
      <c r="G214" s="82">
        <f>ROUND(G213/(G213+H213)*100,0)</f>
        <v>0</v>
      </c>
      <c r="H214" s="84">
        <f>ROUND(H213/(H213+G213)*100,0)</f>
        <v>100</v>
      </c>
      <c r="I214" s="88">
        <f>ROUND(I213/(I213+J213)*100,0)</f>
        <v>0</v>
      </c>
      <c r="J214" s="89">
        <f>ROUND(J213/(J213+I213)*100,0)</f>
        <v>100</v>
      </c>
      <c r="K214" s="84">
        <f>ROUND(K213/(K213+L213)*100,0)</f>
        <v>0</v>
      </c>
      <c r="L214" s="83">
        <f>ROUND(L213/(L213+K213)*100,0)</f>
        <v>100</v>
      </c>
      <c r="M214" s="88">
        <f>ROUND(M213/(M213+N213)*100,0)</f>
        <v>0</v>
      </c>
      <c r="N214" s="89">
        <f>ROUND(N213/(N213+M213)*100,0)</f>
        <v>100</v>
      </c>
    </row>
    <row r="215" spans="1:14" ht="15.75">
      <c r="A215" s="114">
        <v>2022</v>
      </c>
      <c r="B215" s="90" t="s">
        <v>5</v>
      </c>
      <c r="C215" s="23">
        <f>SUM(C217,C219)</f>
        <v>27034.124690759767</v>
      </c>
      <c r="D215" s="24">
        <f>SUM(D217,D219,D221,D223)</f>
        <v>86584.70864257356</v>
      </c>
      <c r="E215" s="23">
        <f>SUM(E217,E219)</f>
        <v>11604.083333333332</v>
      </c>
      <c r="F215" s="24">
        <f>SUM(F217,F219,F221,F223)</f>
        <v>23452.91666666667</v>
      </c>
      <c r="G215" s="23">
        <f>SUM(G217,G219)</f>
        <v>16112.696132668892</v>
      </c>
      <c r="H215" s="24">
        <f>SUM(H217,H219,H221,H223)</f>
        <v>23398.303867331106</v>
      </c>
      <c r="I215" s="23">
        <f>SUM(I217,I219)</f>
        <v>54750.90415676199</v>
      </c>
      <c r="J215" s="24">
        <f>SUM(J217,J219,J221,J223)</f>
        <v>133435.9291765713</v>
      </c>
      <c r="K215" s="23">
        <f>SUM(K217,K219)</f>
        <v>8612.843109452737</v>
      </c>
      <c r="L215" s="24">
        <f>SUM(L217,L219,L221,L223)</f>
        <v>4762.664466666666</v>
      </c>
      <c r="M215" s="23">
        <f>SUM(M217,M219)</f>
        <v>63364</v>
      </c>
      <c r="N215" s="24">
        <f>SUM(N217,N219,N221,N223)</f>
        <v>138199</v>
      </c>
    </row>
    <row r="216" spans="1:14" ht="15.75" thickBot="1">
      <c r="A216" s="115"/>
      <c r="B216" s="96" t="s">
        <v>6</v>
      </c>
      <c r="C216" s="97">
        <f>ROUND(C215/(C215+D215)*100,0)</f>
        <v>24</v>
      </c>
      <c r="D216" s="95">
        <f>ROUND(D215/(D215+C215)*100,0)</f>
        <v>76</v>
      </c>
      <c r="E216" s="97">
        <f>ROUND(E215/(E215+F215)*100,0)</f>
        <v>33</v>
      </c>
      <c r="F216" s="95">
        <f>ROUND(F215/(F215+E215)*100,0)</f>
        <v>67</v>
      </c>
      <c r="G216" s="97">
        <f>ROUND(G215/(G215+H215)*100,0)</f>
        <v>41</v>
      </c>
      <c r="H216" s="95">
        <f>ROUND(H215/(H215+G215)*100,0)</f>
        <v>59</v>
      </c>
      <c r="I216" s="112">
        <f>ROUND(I215/(I215+J215)*100,0)</f>
        <v>29</v>
      </c>
      <c r="J216" s="113">
        <f>ROUND(J215/(J215+I215)*100,0)</f>
        <v>71</v>
      </c>
      <c r="K216" s="94">
        <f>ROUND(K215/(K215+L215)*100,0)</f>
        <v>64</v>
      </c>
      <c r="L216" s="95">
        <f>ROUND(L215/(L215+K215)*100,0)</f>
        <v>36</v>
      </c>
      <c r="M216" s="112">
        <f>ROUND(M215/(M215+N215)*100,0)</f>
        <v>31</v>
      </c>
      <c r="N216" s="113">
        <f>ROUND(N215/(N215+M215)*100,0)</f>
        <v>69</v>
      </c>
    </row>
    <row r="217" spans="1:14" ht="15.75">
      <c r="A217" s="116" t="s">
        <v>8</v>
      </c>
      <c r="B217" s="20" t="s">
        <v>5</v>
      </c>
      <c r="C217" s="21">
        <v>10640.561355611451</v>
      </c>
      <c r="D217" s="22">
        <v>3857.271977721884</v>
      </c>
      <c r="E217" s="21">
        <v>3181.7499999999995</v>
      </c>
      <c r="F217" s="22">
        <v>1678.666666666666</v>
      </c>
      <c r="G217" s="21">
        <v>4249.363239137298</v>
      </c>
      <c r="H217" s="66">
        <v>2403.886760862703</v>
      </c>
      <c r="I217" s="23">
        <f>SUM(G217,E217,C217)</f>
        <v>18071.67459474875</v>
      </c>
      <c r="J217" s="24">
        <f>SUM(H217,F217,D217)</f>
        <v>7939.825405251253</v>
      </c>
      <c r="K217" s="66">
        <v>5968.929776119403</v>
      </c>
      <c r="L217" s="22">
        <v>1894.1516666666666</v>
      </c>
      <c r="M217" s="23">
        <f>24246-205</f>
        <v>24041</v>
      </c>
      <c r="N217" s="24">
        <f>9842-8</f>
        <v>9834</v>
      </c>
    </row>
    <row r="218" spans="1:14" ht="15">
      <c r="A218" s="117"/>
      <c r="B218" s="98" t="s">
        <v>6</v>
      </c>
      <c r="C218" s="99">
        <f>ROUND(C217/(C217+D217)*100,0)</f>
        <v>73</v>
      </c>
      <c r="D218" s="100">
        <f>ROUND(D217/(D217+C217)*100,0)</f>
        <v>27</v>
      </c>
      <c r="E218" s="99">
        <f>ROUND(E217/(E217+F217)*100,0)</f>
        <v>65</v>
      </c>
      <c r="F218" s="100">
        <f>ROUND(F217/(F217+E217)*100,0)</f>
        <v>35</v>
      </c>
      <c r="G218" s="99">
        <f>ROUND(G217/(G217+H217)*100,0)</f>
        <v>64</v>
      </c>
      <c r="H218" s="101">
        <f>ROUND(H217/(H217+G217)*100,0)</f>
        <v>36</v>
      </c>
      <c r="I218" s="102">
        <f>ROUND(I217/(I217+J217)*100,0)</f>
        <v>69</v>
      </c>
      <c r="J218" s="103">
        <f>ROUND(J217/(J217+I217)*100,0)</f>
        <v>31</v>
      </c>
      <c r="K218" s="101">
        <f>ROUND(K217/(K217+L217)*100,0)</f>
        <v>76</v>
      </c>
      <c r="L218" s="100">
        <f>ROUND(L217/(L217+K217)*100,0)</f>
        <v>24</v>
      </c>
      <c r="M218" s="102">
        <f>ROUND(M217/(M217+N217)*100,0)</f>
        <v>71</v>
      </c>
      <c r="N218" s="103">
        <f>ROUND(N217/(N217+M217)*100,0)</f>
        <v>29</v>
      </c>
    </row>
    <row r="219" spans="1:14" ht="15.75">
      <c r="A219" s="117" t="s">
        <v>9</v>
      </c>
      <c r="B219" s="29" t="s">
        <v>5</v>
      </c>
      <c r="C219" s="30">
        <v>16393.563335148316</v>
      </c>
      <c r="D219" s="27">
        <v>22158.43666485168</v>
      </c>
      <c r="E219" s="30">
        <v>8422.333333333332</v>
      </c>
      <c r="F219" s="27">
        <v>14189.250000000004</v>
      </c>
      <c r="G219" s="30">
        <v>11863.332893531595</v>
      </c>
      <c r="H219" s="67">
        <v>11204.58377313507</v>
      </c>
      <c r="I219" s="30">
        <f>SUM(G219,E219,C219)</f>
        <v>36679.22956201324</v>
      </c>
      <c r="J219" s="27">
        <f>SUM(H219,F219,D219)</f>
        <v>47552.27043798675</v>
      </c>
      <c r="K219" s="67">
        <v>2643.913333333333</v>
      </c>
      <c r="L219" s="27">
        <v>1933.503333333333</v>
      </c>
      <c r="M219" s="30">
        <f>41267-1944</f>
        <v>39323</v>
      </c>
      <c r="N219" s="27">
        <f>49542-56</f>
        <v>49486</v>
      </c>
    </row>
    <row r="220" spans="1:14" ht="15">
      <c r="A220" s="117"/>
      <c r="B220" s="98" t="s">
        <v>6</v>
      </c>
      <c r="C220" s="99">
        <f>ROUND(C219/(C219+D219)*100,0)</f>
        <v>43</v>
      </c>
      <c r="D220" s="100">
        <f>ROUND(D219/(D219+C219)*100,0)</f>
        <v>57</v>
      </c>
      <c r="E220" s="99">
        <f>ROUND(E219/(E219+F219)*100,0)</f>
        <v>37</v>
      </c>
      <c r="F220" s="100">
        <f>ROUND(F219/(F219+E219)*100,0)</f>
        <v>63</v>
      </c>
      <c r="G220" s="99">
        <f>ROUND(G219/(G219+H219)*100,0)</f>
        <v>51</v>
      </c>
      <c r="H220" s="101">
        <f>ROUND(H219/(H219+G219)*100,0)</f>
        <v>49</v>
      </c>
      <c r="I220" s="102">
        <f>ROUND(I219/(I219+J219)*100,0)</f>
        <v>44</v>
      </c>
      <c r="J220" s="103">
        <f>ROUND(J219/(J219+I219)*100,0)</f>
        <v>56</v>
      </c>
      <c r="K220" s="101">
        <f>ROUND(K219/(K219+L219)*100,0)</f>
        <v>58</v>
      </c>
      <c r="L220" s="100">
        <f>ROUND(L219/(L219+K219)*100,0)</f>
        <v>42</v>
      </c>
      <c r="M220" s="102">
        <f>ROUND(M219/(M219+N219)*100,0)</f>
        <v>44</v>
      </c>
      <c r="N220" s="103">
        <f>ROUND(N219/(N219+M219)*100,0)</f>
        <v>56</v>
      </c>
    </row>
    <row r="221" spans="1:14" ht="15.75">
      <c r="A221" s="117" t="s">
        <v>11</v>
      </c>
      <c r="B221" s="25" t="s">
        <v>5</v>
      </c>
      <c r="C221" s="41">
        <v>0</v>
      </c>
      <c r="D221" s="27">
        <v>60159</v>
      </c>
      <c r="E221" s="41">
        <v>0</v>
      </c>
      <c r="F221" s="27">
        <v>7430.333333333333</v>
      </c>
      <c r="G221" s="41">
        <v>0</v>
      </c>
      <c r="H221" s="67">
        <v>9717</v>
      </c>
      <c r="I221" s="41">
        <f>SUM(G221,E221,C221)</f>
        <v>0</v>
      </c>
      <c r="J221" s="27">
        <f>SUM(H221,F221,D221)</f>
        <v>77306.33333333333</v>
      </c>
      <c r="K221" s="69">
        <v>0</v>
      </c>
      <c r="L221" s="42">
        <v>856.9200000000001</v>
      </c>
      <c r="M221" s="41">
        <v>0</v>
      </c>
      <c r="N221" s="42">
        <f>78163</f>
        <v>78163</v>
      </c>
    </row>
    <row r="222" spans="1:14" ht="15">
      <c r="A222" s="117"/>
      <c r="B222" s="98" t="s">
        <v>6</v>
      </c>
      <c r="C222" s="99">
        <f>ROUND(C221/(C221+D221)*100,0)</f>
        <v>0</v>
      </c>
      <c r="D222" s="100">
        <f>ROUND(D221/(D221+C221)*100,0)</f>
        <v>100</v>
      </c>
      <c r="E222" s="99">
        <f>ROUND(E221/(E221+F221)*100,0)</f>
        <v>0</v>
      </c>
      <c r="F222" s="100">
        <f>ROUND(F221/(F221+E221)*100,0)</f>
        <v>100</v>
      </c>
      <c r="G222" s="99">
        <f>ROUND(G221/(G221+H221)*100,0)</f>
        <v>0</v>
      </c>
      <c r="H222" s="101">
        <f>ROUND(H221/(H221+G221)*100,0)</f>
        <v>100</v>
      </c>
      <c r="I222" s="102">
        <f>ROUND(I221/(I221+J221)*100,0)</f>
        <v>0</v>
      </c>
      <c r="J222" s="103">
        <f>ROUND(J221/(J221+I221)*100,0)</f>
        <v>100</v>
      </c>
      <c r="K222" s="101">
        <f>ROUND(K221/(K221+L221)*100,0)</f>
        <v>0</v>
      </c>
      <c r="L222" s="100">
        <f>ROUND(L221/(L221+K221)*100,0)</f>
        <v>100</v>
      </c>
      <c r="M222" s="102">
        <f>ROUND(M221/(M221+N221)*100,0)</f>
        <v>0</v>
      </c>
      <c r="N222" s="103">
        <f>ROUND(N221/(N221+M221)*100,0)</f>
        <v>100</v>
      </c>
    </row>
    <row r="223" spans="1:14" ht="15.75">
      <c r="A223" s="117" t="s">
        <v>10</v>
      </c>
      <c r="B223" s="29" t="s">
        <v>5</v>
      </c>
      <c r="C223" s="41">
        <v>0</v>
      </c>
      <c r="D223" s="27">
        <v>410</v>
      </c>
      <c r="E223" s="41">
        <v>0</v>
      </c>
      <c r="F223" s="27">
        <v>154.66666666666674</v>
      </c>
      <c r="G223" s="41">
        <v>0</v>
      </c>
      <c r="H223" s="67">
        <v>72.83333333333334</v>
      </c>
      <c r="I223" s="41">
        <f>SUM(G223,E223,C223)</f>
        <v>0</v>
      </c>
      <c r="J223" s="27">
        <f>SUM(H223,F223,D223)</f>
        <v>637.5000000000001</v>
      </c>
      <c r="K223" s="69">
        <v>0</v>
      </c>
      <c r="L223" s="42">
        <v>78.08946666666667</v>
      </c>
      <c r="M223" s="41">
        <v>0</v>
      </c>
      <c r="N223" s="42">
        <f>1084-368</f>
        <v>716</v>
      </c>
    </row>
    <row r="224" spans="1:14" ht="15.75" thickBot="1">
      <c r="A224" s="118"/>
      <c r="B224" s="104" t="s">
        <v>6</v>
      </c>
      <c r="C224" s="105">
        <f>ROUND(C223/(C223+D223)*100,0)</f>
        <v>0</v>
      </c>
      <c r="D224" s="106">
        <f>ROUND(D223/(D223+C223)*100,0)</f>
        <v>100</v>
      </c>
      <c r="E224" s="105">
        <f>ROUND(E223/(E223+F223)*100,0)</f>
        <v>0</v>
      </c>
      <c r="F224" s="106">
        <f>ROUND(F223/(F223+E223)*100,0)</f>
        <v>100</v>
      </c>
      <c r="G224" s="105">
        <f>ROUND(G223/(G223+H223)*100,0)</f>
        <v>0</v>
      </c>
      <c r="H224" s="107">
        <f>ROUND(H223/(H223+G223)*100,0)</f>
        <v>100</v>
      </c>
      <c r="I224" s="108">
        <f>ROUND(I223/(I223+J223)*100,0)</f>
        <v>0</v>
      </c>
      <c r="J224" s="109">
        <f>ROUND(J223/(J223+I223)*100,0)</f>
        <v>100</v>
      </c>
      <c r="K224" s="107">
        <f>ROUND(K223/(K223+L223)*100,0)</f>
        <v>0</v>
      </c>
      <c r="L224" s="106">
        <f>ROUND(L223/(L223+K223)*100,0)</f>
        <v>100</v>
      </c>
      <c r="M224" s="108">
        <f>ROUND(M223/(M223+N223)*100,0)</f>
        <v>0</v>
      </c>
      <c r="N224" s="109">
        <f>ROUND(N223/(N223+M223)*100,0)</f>
        <v>100</v>
      </c>
    </row>
    <row r="225" spans="1:14" ht="15">
      <c r="A225" s="11"/>
      <c r="B225" s="91"/>
      <c r="C225" s="92"/>
      <c r="D225" s="92"/>
      <c r="E225" s="92"/>
      <c r="F225" s="92"/>
      <c r="G225" s="92"/>
      <c r="H225" s="92"/>
      <c r="I225" s="92"/>
      <c r="J225" s="92"/>
      <c r="K225" s="92"/>
      <c r="L225" s="92"/>
      <c r="M225" s="92"/>
      <c r="N225" s="92"/>
    </row>
    <row r="226" spans="1:14" ht="26.25" customHeight="1">
      <c r="A226" s="131" t="s">
        <v>17</v>
      </c>
      <c r="B226" s="131"/>
      <c r="C226" s="131"/>
      <c r="D226" s="131"/>
      <c r="E226" s="131"/>
      <c r="F226" s="131"/>
      <c r="G226" s="131"/>
      <c r="H226" s="131"/>
      <c r="I226" s="131"/>
      <c r="J226" s="131"/>
      <c r="K226" s="131"/>
      <c r="L226" s="131"/>
      <c r="M226" s="131"/>
      <c r="N226" s="131"/>
    </row>
    <row r="227" spans="1:14" ht="15">
      <c r="A227" s="9"/>
      <c r="B227" s="9"/>
      <c r="C227" s="9"/>
      <c r="D227" s="9"/>
      <c r="E227" s="9"/>
      <c r="F227" s="9"/>
      <c r="G227" s="9"/>
      <c r="H227" s="9"/>
      <c r="I227" s="4"/>
      <c r="J227" s="4"/>
      <c r="K227" s="10"/>
      <c r="L227" s="10"/>
      <c r="M227" s="10"/>
      <c r="N227" s="10"/>
    </row>
    <row r="228" spans="1:14" ht="15">
      <c r="A228" s="133" t="s">
        <v>15</v>
      </c>
      <c r="B228" s="133"/>
      <c r="C228" s="133"/>
      <c r="D228" s="133"/>
      <c r="E228" s="133"/>
      <c r="F228" s="133"/>
      <c r="G228" s="133"/>
      <c r="H228" s="133"/>
      <c r="I228" s="133"/>
      <c r="J228" s="133"/>
      <c r="K228" s="133"/>
      <c r="L228" s="133"/>
      <c r="M228" s="133"/>
      <c r="N228" s="133"/>
    </row>
    <row r="229" spans="2:11" ht="15">
      <c r="B229" s="7"/>
      <c r="C229" s="8"/>
      <c r="D229" s="6"/>
      <c r="E229" s="6"/>
      <c r="F229" s="6"/>
      <c r="G229" s="6"/>
      <c r="H229" s="6"/>
      <c r="I229" s="4"/>
      <c r="J229" s="4"/>
      <c r="K229" s="2"/>
    </row>
    <row r="230" spans="1:14" ht="15">
      <c r="A230" s="124" t="s">
        <v>16</v>
      </c>
      <c r="B230" s="124"/>
      <c r="C230" s="124"/>
      <c r="D230" s="124"/>
      <c r="E230" s="124"/>
      <c r="F230" s="124"/>
      <c r="G230" s="124"/>
      <c r="H230" s="124"/>
      <c r="I230" s="124"/>
      <c r="J230" s="124"/>
      <c r="K230" s="124"/>
      <c r="L230" s="124"/>
      <c r="M230" s="124"/>
      <c r="N230" s="124"/>
    </row>
    <row r="231" spans="3:4" ht="15">
      <c r="C231" s="3"/>
      <c r="D231" s="3"/>
    </row>
  </sheetData>
  <sheetProtection/>
  <mergeCells count="120">
    <mergeCell ref="A199:A200"/>
    <mergeCell ref="A201:A202"/>
    <mergeCell ref="A203:A204"/>
    <mergeCell ref="A141:A142"/>
    <mergeCell ref="A143:A144"/>
    <mergeCell ref="A145:A146"/>
    <mergeCell ref="A177:A178"/>
    <mergeCell ref="A179:A180"/>
    <mergeCell ref="A109:A110"/>
    <mergeCell ref="A113:A114"/>
    <mergeCell ref="A195:A196"/>
    <mergeCell ref="A115:A116"/>
    <mergeCell ref="A228:N228"/>
    <mergeCell ref="A125:A126"/>
    <mergeCell ref="A127:A128"/>
    <mergeCell ref="A129:A130"/>
    <mergeCell ref="A131:A132"/>
    <mergeCell ref="A171:A172"/>
    <mergeCell ref="A226:N226"/>
    <mergeCell ref="A17:A18"/>
    <mergeCell ref="A183:A184"/>
    <mergeCell ref="A173:A174"/>
    <mergeCell ref="A175:A176"/>
    <mergeCell ref="A1:N1"/>
    <mergeCell ref="A65:A66"/>
    <mergeCell ref="K3:L3"/>
    <mergeCell ref="M3:N3"/>
    <mergeCell ref="A5:A6"/>
    <mergeCell ref="A15:A16"/>
    <mergeCell ref="C3:D3"/>
    <mergeCell ref="E3:F3"/>
    <mergeCell ref="I3:J3"/>
    <mergeCell ref="A7:A8"/>
    <mergeCell ref="A11:A12"/>
    <mergeCell ref="G3:H3"/>
    <mergeCell ref="A9:A10"/>
    <mergeCell ref="A13:A14"/>
    <mergeCell ref="A57:A58"/>
    <mergeCell ref="A33:A34"/>
    <mergeCell ref="A31:A32"/>
    <mergeCell ref="A41:A42"/>
    <mergeCell ref="A51:A52"/>
    <mergeCell ref="A25:A26"/>
    <mergeCell ref="A55:A56"/>
    <mergeCell ref="A47:A48"/>
    <mergeCell ref="A49:A50"/>
    <mergeCell ref="A19:A20"/>
    <mergeCell ref="A23:A24"/>
    <mergeCell ref="A21:A22"/>
    <mergeCell ref="A53:A54"/>
    <mergeCell ref="A35:A36"/>
    <mergeCell ref="A45:A46"/>
    <mergeCell ref="A27:A28"/>
    <mergeCell ref="A29:A30"/>
    <mergeCell ref="A91:A92"/>
    <mergeCell ref="A75:A76"/>
    <mergeCell ref="A103:A104"/>
    <mergeCell ref="A151:A152"/>
    <mergeCell ref="A69:A70"/>
    <mergeCell ref="A73:A74"/>
    <mergeCell ref="A77:A78"/>
    <mergeCell ref="A95:A96"/>
    <mergeCell ref="A105:A106"/>
    <mergeCell ref="A117:A118"/>
    <mergeCell ref="A157:A158"/>
    <mergeCell ref="A97:A98"/>
    <mergeCell ref="A99:A100"/>
    <mergeCell ref="A107:A108"/>
    <mergeCell ref="A37:A38"/>
    <mergeCell ref="A39:A40"/>
    <mergeCell ref="A43:A44"/>
    <mergeCell ref="A61:A62"/>
    <mergeCell ref="A85:A86"/>
    <mergeCell ref="A101:A102"/>
    <mergeCell ref="A119:A120"/>
    <mergeCell ref="A121:A122"/>
    <mergeCell ref="A123:A124"/>
    <mergeCell ref="A147:A148"/>
    <mergeCell ref="A153:A154"/>
    <mergeCell ref="A149:A150"/>
    <mergeCell ref="A230:N230"/>
    <mergeCell ref="A79:A80"/>
    <mergeCell ref="A83:A84"/>
    <mergeCell ref="A87:A88"/>
    <mergeCell ref="A89:A90"/>
    <mergeCell ref="A163:A164"/>
    <mergeCell ref="A155:A156"/>
    <mergeCell ref="A165:A166"/>
    <mergeCell ref="A167:A168"/>
    <mergeCell ref="A139:A140"/>
    <mergeCell ref="A59:A60"/>
    <mergeCell ref="A63:A64"/>
    <mergeCell ref="A67:A68"/>
    <mergeCell ref="A135:A136"/>
    <mergeCell ref="A137:A138"/>
    <mergeCell ref="A93:A94"/>
    <mergeCell ref="A133:A134"/>
    <mergeCell ref="A111:A112"/>
    <mergeCell ref="A71:A72"/>
    <mergeCell ref="A81:A82"/>
    <mergeCell ref="A187:A188"/>
    <mergeCell ref="A189:A190"/>
    <mergeCell ref="A191:A192"/>
    <mergeCell ref="A193:A194"/>
    <mergeCell ref="A197:A198"/>
    <mergeCell ref="A159:A160"/>
    <mergeCell ref="A161:A162"/>
    <mergeCell ref="A169:A170"/>
    <mergeCell ref="A181:A182"/>
    <mergeCell ref="A185:A186"/>
    <mergeCell ref="A215:A216"/>
    <mergeCell ref="A217:A218"/>
    <mergeCell ref="A219:A220"/>
    <mergeCell ref="A221:A222"/>
    <mergeCell ref="A223:A224"/>
    <mergeCell ref="A205:A206"/>
    <mergeCell ref="A207:A208"/>
    <mergeCell ref="A209:A210"/>
    <mergeCell ref="A211:A212"/>
    <mergeCell ref="A213:A214"/>
  </mergeCells>
  <printOptions/>
  <pageMargins left="0.25" right="0.25" top="0.75" bottom="0.75" header="0.3" footer="0.3"/>
  <pageSetup fitToHeight="1" fitToWidth="1" horizontalDpi="600" verticalDpi="600" orientation="portrait" paperSize="8" scale="50" r:id="rId3"/>
  <ignoredErrors>
    <ignoredError sqref="C196:J204 C195:E195 F195:J195 F188:J194 C188:D194 D106:K129 E188:E194 C182:C187 D182:D187 E182:J187 D170:J181 D165:L165 D166:J169 D146:L155 D130:K142 D143:L144 L130:L142 G145:L145 L118:L129 L106:L117 M106:M117 M118:M129 M165 N106:N117 N166:N169 N165 M130:N164 N118:N129 N182:N187 N170:N181 M197:N197 M199:N199 M201:N201 M203:N203 K197:L197 K199:L199 K201:L201 K203:L203 K187" formula="1"/>
    <ignoredError sqref="K188:L194 K182:L186 K170:L181 K166:L169 K195:L196 M166:M169 M170:M181 M182:M187 M188:N194 M195:N196 M204:N204 M202:N202 M200:N200 M198:N198 K204:L204 K202:L202 K200:L200 K198:L198 L187" evalError="1"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Défense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greneche_e</dc:creator>
  <cp:keywords/>
  <dc:description/>
  <cp:lastModifiedBy>JOUSSEMET Elodie ATTACHE ADMI</cp:lastModifiedBy>
  <cp:lastPrinted>2014-10-01T07:26:29Z</cp:lastPrinted>
  <dcterms:created xsi:type="dcterms:W3CDTF">2011-10-03T12:20:05Z</dcterms:created>
  <dcterms:modified xsi:type="dcterms:W3CDTF">2023-07-31T08:04:39Z</dcterms:modified>
  <cp:category/>
  <cp:version/>
  <cp:contentType/>
  <cp:contentStatus/>
</cp:coreProperties>
</file>