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C_sources-electr" sheetId="1" state="visible" r:id="rId2"/>
    <sheet name="prod_elec_france-monde" sheetId="2" state="visible" r:id="rId3"/>
    <sheet name="mineur_global" sheetId="3" state="visible" r:id="rId4"/>
    <sheet name="Estimation_emission_mineur_an" sheetId="4" state="visible" r:id="rId5"/>
  </sheets>
  <definedNames>
    <definedName function="false" hidden="false" name="bilan_carb_elec" vbProcedure="false">'BC_sources-electr'!$A$6:$B$15</definedName>
    <definedName function="false" hidden="false" name="detail_mineur" vbProcedure="false">mineur_global!$A$6:$L$15</definedName>
    <definedName function="false" hidden="false" name="dm_col" vbProcedure="false">mineur_global!$A$6:$L$6</definedName>
    <definedName function="false" hidden="false" name="dm_row" vbProcedure="false">mineur_global!$A$6:$A$15</definedName>
    <definedName function="false" hidden="false" name="emission" vbProcedure="false">'BC_sources-electr'!$A$6:$J$7</definedName>
    <definedName function="false" hidden="false" name="emissions" vbProcedure="false">'BC_sources-electr'!$A$6:$B$15</definedName>
    <definedName function="false" hidden="false" name="energy" vbProcedure="false">'BC_sources-electr'!$A$7:$A$15</definedName>
    <definedName function="false" hidden="false" name="fr_em_min_an" vbProcedure="false">mineur_global!$M$6:$S$15</definedName>
    <definedName function="false" hidden="false" name="fr_md_emissions" vbProcedure="false">'prod_elec_france-monde'!$A$6:$G$14</definedName>
    <definedName function="false" hidden="false" name="md_em_min_an" vbProcedure="false">mineur_global!$T$6:$Z$15</definedName>
    <definedName function="false" hidden="false" name="mineur" vbProcedure="false">#REF!</definedName>
    <definedName function="false" hidden="false" name="mineurs" vbProcedure="false">#REF!</definedName>
    <definedName function="false" hidden="false" name="mineur_emission_heure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<sst xmlns="http://schemas.openxmlformats.org/spreadsheetml/2006/main" count="112" uniqueCount="51">
  <si>
    <r>
      <rPr>
        <b val="true"/>
        <sz val="10"/>
        <rFont val="Arial"/>
        <family val="2"/>
        <charset val="1"/>
      </rPr>
      <t xml:space="preserve">Bilan carbone des différentes sources d'électricité (</t>
    </r>
    <r>
      <rPr>
        <sz val="10"/>
        <rFont val="Arial"/>
        <family val="2"/>
        <charset val="1"/>
      </rPr>
      <t xml:space="preserve">en quantité médiane de CO2 rejetée par kilowattheure, gCO2/kWh)</t>
    </r>
  </si>
  <si>
    <t xml:space="preserve">Type de production d’électricité</t>
  </si>
  <si>
    <t xml:space="preserve">Emission (gCO2eq/kW/h)</t>
  </si>
  <si>
    <t xml:space="preserve">Carbone</t>
  </si>
  <si>
    <t xml:space="preserve">Gaz</t>
  </si>
  <si>
    <t xml:space="preserve">Biomasse</t>
  </si>
  <si>
    <t xml:space="preserve">Solaire photovoltaique</t>
  </si>
  <si>
    <t xml:space="preserve">Solaire thermique</t>
  </si>
  <si>
    <t xml:space="preserve">Hydraulique</t>
  </si>
  <si>
    <t xml:space="preserve">Nucleaire</t>
  </si>
  <si>
    <t xml:space="preserve">Eolien</t>
  </si>
  <si>
    <t xml:space="preserve">Geothermie</t>
  </si>
  <si>
    <t xml:space="preserve">Consommation Bitcoin/an (kWh)</t>
  </si>
  <si>
    <t xml:space="preserve">Consommation Bitcoin France</t>
  </si>
  <si>
    <t xml:space="preserve">Total hash rate Jan22 (TH/s)</t>
  </si>
  <si>
    <t xml:space="preserve">France pct TH/s</t>
  </si>
  <si>
    <t xml:space="preserve">France TH/s Jan22</t>
  </si>
  <si>
    <t xml:space="preserve">(tCO2 – 2022)</t>
  </si>
  <si>
    <t xml:space="preserve">France (%)</t>
  </si>
  <si>
    <t xml:space="preserve">France (Twh)</t>
  </si>
  <si>
    <t xml:space="preserve">France emissions</t>
  </si>
  <si>
    <t xml:space="preserve">Monde (%)</t>
  </si>
  <si>
    <t xml:space="preserve">Monde (Twh)</t>
  </si>
  <si>
    <t xml:space="preserve">Monde emissions </t>
  </si>
  <si>
    <t xml:space="preserve">Total</t>
  </si>
  <si>
    <t xml:space="preserve">Emissions echelle mondiale sous modele france</t>
  </si>
  <si>
    <t xml:space="preserve">Informations sur des échantillons de mineurs</t>
  </si>
  <si>
    <t xml:space="preserve">Emissions par type de production d’électricité en g CO2/an</t>
  </si>
  <si>
    <t xml:space="preserve">Equivalent émissions en France et dans le monde pour 2022 par type de mineur (tCO2eq)</t>
  </si>
  <si>
    <t xml:space="preserve">France</t>
  </si>
  <si>
    <t xml:space="preserve">Monde</t>
  </si>
  <si>
    <t xml:space="preserve">Miner_name</t>
  </si>
  <si>
    <t xml:space="preserve">Release Date</t>
  </si>
  <si>
    <t xml:space="preserve">Hashing power (Th/s)</t>
  </si>
  <si>
    <t xml:space="preserve">Power (W)</t>
  </si>
  <si>
    <t xml:space="preserve">Efficiency (J/Gh)</t>
  </si>
  <si>
    <t xml:space="preserve">Avalon 1</t>
  </si>
  <si>
    <t xml:space="preserve">Bitmain Antminer S1</t>
  </si>
  <si>
    <t xml:space="preserve">Bitmain Antminer S19k Pro</t>
  </si>
  <si>
    <t xml:space="preserve">MicroBT Whatsminer M50S++</t>
  </si>
  <si>
    <t xml:space="preserve">Bitmain Antminer S19j XP</t>
  </si>
  <si>
    <t xml:space="preserve">Bitmain Antminer S21</t>
  </si>
  <si>
    <t xml:space="preserve">Bitmain Antminer S21 Hyd.</t>
  </si>
  <si>
    <t xml:space="preserve">Whatsminer M60S</t>
  </si>
  <si>
    <t xml:space="preserve">Bitmain Antminer T21</t>
  </si>
  <si>
    <t xml:space="preserve">France emissions proportionnelles (tCo2) – an</t>
  </si>
  <si>
    <t xml:space="preserve">Monde emissions proportionnelles (tCO2)</t>
  </si>
  <si>
    <t xml:space="preserve">Total modèle France rapporté à l’échelle mondiale</t>
  </si>
  <si>
    <t xml:space="preserve">Réduction des émissions en appliquant le modèle France</t>
  </si>
  <si>
    <t xml:space="preserve">Total emission / an (2022)</t>
  </si>
  <si>
    <t xml:space="preserve">Total hashrate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</si>
</sst>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0.00%"/>
    <numFmt numFmtId="167" formatCode="#,##0.00"/>
    <numFmt numFmtId="168" formatCode="mm\.yyyy"/>
    <numFmt numFmtId="169" formatCode="dd/mm/yyyy"/>
    <numFmt numFmtId="170" formatCode="#,##0.0000000"/>
    <numFmt numFmtId="171" formatCode="0.0000"/>
    <numFmt numFmtId="172" formatCode="mm/yyyy"/>
    <numFmt numFmtId="173" formatCode="0.0000%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1"/>
      <color rgb="FFFFFFFF"/>
      <name val="Arial"/>
      <family val="0"/>
      <charset val="1"/>
    </font>
    <font>
      <sz val="10"/>
      <name val="Times New Roman"/>
      <family val="1"/>
      <charset val="1"/>
    </font>
    <font>
      <sz val="10"/>
      <name val="Arial"/>
      <family val="2"/>
    </font>
    <font>
      <b val="true"/>
      <sz val="10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sz val="11"/>
      <color rgb="FF000000"/>
      <name val="Arial"/>
      <family val="0"/>
      <charset val="1"/>
    </font>
  </fonts>
  <fills count="12">
    <fill>
      <patternFill patternType="none"/>
    </fill>
    <fill>
      <patternFill patternType="gray125"/>
    </fill>
    <fill>
      <patternFill patternType="solid">
        <fgColor rgb="FF434343"/>
        <bgColor rgb="FF355269"/>
      </patternFill>
    </fill>
    <fill>
      <patternFill patternType="solid">
        <fgColor rgb="FF000000"/>
        <bgColor rgb="FF003300"/>
      </patternFill>
    </fill>
    <fill>
      <patternFill patternType="solid">
        <fgColor rgb="FF355269"/>
        <bgColor rgb="FF434343"/>
      </patternFill>
    </fill>
    <fill>
      <patternFill patternType="solid">
        <fgColor rgb="FF813709"/>
        <bgColor rgb="FF993366"/>
      </patternFill>
    </fill>
    <fill>
      <patternFill patternType="solid">
        <fgColor rgb="FF8E86AE"/>
        <bgColor rgb="FF808080"/>
      </patternFill>
    </fill>
    <fill>
      <patternFill patternType="solid">
        <fgColor rgb="FF3465A4"/>
        <bgColor rgb="FF355269"/>
      </patternFill>
    </fill>
    <fill>
      <patternFill patternType="solid">
        <fgColor rgb="FFB85C00"/>
        <bgColor rgb="FF808000"/>
      </patternFill>
    </fill>
    <fill>
      <patternFill patternType="solid">
        <fgColor rgb="FFDDDDDD"/>
        <bgColor rgb="FFCCFFCC"/>
      </patternFill>
    </fill>
    <fill>
      <patternFill patternType="solid">
        <fgColor rgb="FF5983B0"/>
        <bgColor rgb="FF808080"/>
      </patternFill>
    </fill>
    <fill>
      <patternFill patternType="solid">
        <fgColor rgb="FF492300"/>
        <bgColor rgb="FF434343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4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5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5" fillId="3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5" fillId="6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6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6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7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8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9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2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1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11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465A4"/>
      <rgbColor rgb="FF33CCCC"/>
      <rgbColor rgb="FF99CC00"/>
      <rgbColor rgb="FFFFCC00"/>
      <rgbColor rgb="FFFF9900"/>
      <rgbColor rgb="FFB85C00"/>
      <rgbColor rgb="FF5983B0"/>
      <rgbColor rgb="FF8E86AE"/>
      <rgbColor rgb="FF003366"/>
      <rgbColor rgb="FF339966"/>
      <rgbColor rgb="FF003300"/>
      <rgbColor rgb="FF492300"/>
      <rgbColor rgb="FF813709"/>
      <rgbColor rgb="FF993366"/>
      <rgbColor rgb="FF355269"/>
      <rgbColor rgb="FF43434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4:C25"/>
  <sheetViews>
    <sheetView showFormulas="false" showGridLines="true" showRowColHeaders="true" showZeros="true" rightToLeft="false" tabSelected="true" showOutlineSymbols="true" defaultGridColor="true" view="normal" topLeftCell="A4" colorId="64" zoomScale="86" zoomScaleNormal="86" zoomScalePageLayoutView="100" workbookViewId="0">
      <selection pane="topLeft" activeCell="C46" activeCellId="0" sqref="C46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25.56"/>
    <col collapsed="false" customWidth="true" hidden="false" outlineLevel="0" max="2" min="2" style="0" width="14.62"/>
    <col collapsed="false" customWidth="true" hidden="false" outlineLevel="0" max="5" min="5" style="0" width="15.84"/>
    <col collapsed="false" customWidth="true" hidden="false" outlineLevel="0" max="7" min="7" style="0" width="12.96"/>
    <col collapsed="false" customWidth="true" hidden="false" outlineLevel="0" max="10" min="10" style="0" width="13.97"/>
  </cols>
  <sheetData>
    <row r="4" customFormat="false" ht="67.65" hidden="false" customHeight="false" outlineLevel="0" collapsed="false">
      <c r="A4" s="1" t="s">
        <v>0</v>
      </c>
    </row>
    <row r="6" customFormat="false" ht="24.35" hidden="false" customHeight="false" outlineLevel="0" collapsed="false">
      <c r="A6" s="2" t="s">
        <v>1</v>
      </c>
      <c r="B6" s="3" t="s">
        <v>2</v>
      </c>
    </row>
    <row r="7" customFormat="false" ht="14.4" hidden="false" customHeight="false" outlineLevel="0" collapsed="false">
      <c r="A7" s="4" t="s">
        <v>3</v>
      </c>
      <c r="B7" s="5" t="n">
        <v>820</v>
      </c>
    </row>
    <row r="8" customFormat="false" ht="14.4" hidden="false" customHeight="false" outlineLevel="0" collapsed="false">
      <c r="A8" s="4" t="s">
        <v>4</v>
      </c>
      <c r="B8" s="5" t="n">
        <v>490</v>
      </c>
    </row>
    <row r="9" customFormat="false" ht="14.4" hidden="false" customHeight="false" outlineLevel="0" collapsed="false">
      <c r="A9" s="4" t="s">
        <v>5</v>
      </c>
      <c r="B9" s="5" t="n">
        <v>230</v>
      </c>
    </row>
    <row r="10" customFormat="false" ht="14.4" hidden="false" customHeight="false" outlineLevel="0" collapsed="false">
      <c r="A10" s="4" t="s">
        <v>6</v>
      </c>
      <c r="B10" s="5" t="n">
        <v>45</v>
      </c>
    </row>
    <row r="11" customFormat="false" ht="14.4" hidden="false" customHeight="false" outlineLevel="0" collapsed="false">
      <c r="A11" s="4" t="s">
        <v>7</v>
      </c>
      <c r="B11" s="5" t="n">
        <v>27</v>
      </c>
    </row>
    <row r="12" customFormat="false" ht="14.4" hidden="false" customHeight="false" outlineLevel="0" collapsed="false">
      <c r="A12" s="4" t="s">
        <v>8</v>
      </c>
      <c r="B12" s="5" t="n">
        <v>24</v>
      </c>
    </row>
    <row r="13" customFormat="false" ht="14.4" hidden="false" customHeight="false" outlineLevel="0" collapsed="false">
      <c r="A13" s="4" t="s">
        <v>9</v>
      </c>
      <c r="B13" s="5" t="n">
        <v>12</v>
      </c>
    </row>
    <row r="14" customFormat="false" ht="14.4" hidden="false" customHeight="false" outlineLevel="0" collapsed="false">
      <c r="A14" s="4" t="s">
        <v>10</v>
      </c>
      <c r="B14" s="5" t="n">
        <v>11</v>
      </c>
    </row>
    <row r="15" customFormat="false" ht="14.4" hidden="false" customHeight="false" outlineLevel="0" collapsed="false">
      <c r="A15" s="6" t="s">
        <v>11</v>
      </c>
      <c r="B15" s="7" t="n">
        <v>38</v>
      </c>
    </row>
    <row r="19" customFormat="false" ht="24.35" hidden="false" customHeight="false" outlineLevel="0" collapsed="false">
      <c r="A19" s="8" t="s">
        <v>12</v>
      </c>
      <c r="B19" s="9" t="n">
        <v>137680000000</v>
      </c>
    </row>
    <row r="20" customFormat="false" ht="12.8" hidden="false" customHeight="false" outlineLevel="0" collapsed="false">
      <c r="A20" s="0" t="s">
        <v>13</v>
      </c>
      <c r="B20" s="0" t="n">
        <f aca="false">0.0021*B19</f>
        <v>289128000</v>
      </c>
      <c r="C20" s="0" t="n">
        <v>289128000</v>
      </c>
    </row>
    <row r="22" customFormat="false" ht="12.8" hidden="false" customHeight="false" outlineLevel="0" collapsed="false">
      <c r="A22" s="0" t="s">
        <v>14</v>
      </c>
      <c r="B22" s="0" t="n">
        <v>168201120307</v>
      </c>
    </row>
    <row r="23" customFormat="false" ht="12.8" hidden="false" customHeight="false" outlineLevel="0" collapsed="false">
      <c r="B23" s="10"/>
    </row>
    <row r="24" customFormat="false" ht="12.8" hidden="false" customHeight="false" outlineLevel="0" collapsed="false">
      <c r="A24" s="0" t="s">
        <v>15</v>
      </c>
      <c r="B24" s="10" t="n">
        <v>0.0021</v>
      </c>
    </row>
    <row r="25" customFormat="false" ht="12.8" hidden="false" customHeight="false" outlineLevel="0" collapsed="false">
      <c r="A25" s="0" t="s">
        <v>16</v>
      </c>
      <c r="B25" s="0" t="n">
        <f aca="false">B24*B22</f>
        <v>353222352.6447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5:G20"/>
  <sheetViews>
    <sheetView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0" workbookViewId="0">
      <selection pane="topLeft" activeCell="D23" activeCellId="0" sqref="D23"/>
    </sheetView>
  </sheetViews>
  <sheetFormatPr defaultColWidth="11.55078125" defaultRowHeight="12.8" zeroHeight="false" outlineLevelRow="0" outlineLevelCol="0"/>
  <cols>
    <col collapsed="false" customWidth="true" hidden="false" outlineLevel="0" max="4" min="4" style="0" width="32.87"/>
    <col collapsed="false" customWidth="true" hidden="false" outlineLevel="0" max="6" min="6" style="0" width="20.46"/>
    <col collapsed="false" customWidth="true" hidden="false" outlineLevel="0" max="7" min="7" style="0" width="19.36"/>
  </cols>
  <sheetData>
    <row r="5" customFormat="false" ht="12.8" hidden="false" customHeight="false" outlineLevel="0" collapsed="false">
      <c r="C5" s="0" t="n">
        <v>2022</v>
      </c>
      <c r="D5" s="11" t="s">
        <v>17</v>
      </c>
      <c r="G5" s="11" t="s">
        <v>17</v>
      </c>
    </row>
    <row r="6" customFormat="false" ht="35.05" hidden="false" customHeight="false" outlineLevel="0" collapsed="false">
      <c r="A6" s="2" t="s">
        <v>1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</row>
    <row r="7" customFormat="false" ht="14.15" hidden="false" customHeight="false" outlineLevel="0" collapsed="false">
      <c r="A7" s="4" t="s">
        <v>3</v>
      </c>
      <c r="B7" s="12" t="n">
        <v>0.006</v>
      </c>
      <c r="C7" s="5" t="n">
        <f aca="false">B7*C$14</f>
        <v>2.6712</v>
      </c>
      <c r="D7" s="5" t="n">
        <f aca="false">C7*1000*VLOOKUP($A7,emissions,2,0)</f>
        <v>2190384</v>
      </c>
      <c r="E7" s="12" t="n">
        <v>0.357</v>
      </c>
      <c r="F7" s="5" t="n">
        <f aca="false">E7*F$14</f>
        <v>10178.07</v>
      </c>
      <c r="G7" s="5" t="n">
        <f aca="false">F7*1000*VLOOKUP($A7,emissions,2,0)</f>
        <v>8346017400</v>
      </c>
    </row>
    <row r="8" customFormat="false" ht="14.15" hidden="false" customHeight="false" outlineLevel="0" collapsed="false">
      <c r="A8" s="4" t="s">
        <v>4</v>
      </c>
      <c r="B8" s="12" t="n">
        <v>0.099</v>
      </c>
      <c r="C8" s="5" t="n">
        <f aca="false">B8*C$14</f>
        <v>44.0748</v>
      </c>
      <c r="D8" s="5" t="n">
        <f aca="false">C8*1000*VLOOKUP($A8,emissions,2,0)</f>
        <v>21596652</v>
      </c>
      <c r="E8" s="12" t="n">
        <v>0.222</v>
      </c>
      <c r="F8" s="5" t="n">
        <f aca="false">E8*F$14</f>
        <v>6329.22</v>
      </c>
      <c r="G8" s="5" t="n">
        <f aca="false">F8*1000*VLOOKUP($A8,emissions,2,0)</f>
        <v>3101317800</v>
      </c>
    </row>
    <row r="9" customFormat="false" ht="14.15" hidden="false" customHeight="false" outlineLevel="0" collapsed="false">
      <c r="A9" s="4" t="s">
        <v>5</v>
      </c>
      <c r="B9" s="12" t="n">
        <v>0</v>
      </c>
      <c r="C9" s="5" t="n">
        <f aca="false">B9*C$14</f>
        <v>0</v>
      </c>
      <c r="D9" s="5" t="n">
        <f aca="false">C9*1000*VLOOKUP($A9,emissions,2,0)</f>
        <v>0</v>
      </c>
      <c r="E9" s="12" t="n">
        <v>0.024</v>
      </c>
      <c r="F9" s="5" t="n">
        <f aca="false">E9*F$14</f>
        <v>684.24</v>
      </c>
      <c r="G9" s="5" t="n">
        <f aca="false">F9*1000*VLOOKUP($A9,emissions,2,0)</f>
        <v>157375200</v>
      </c>
    </row>
    <row r="10" customFormat="false" ht="40.25" hidden="false" customHeight="false" outlineLevel="0" collapsed="false">
      <c r="A10" s="4" t="s">
        <v>6</v>
      </c>
      <c r="B10" s="12" t="n">
        <v>0.042</v>
      </c>
      <c r="C10" s="5" t="n">
        <f aca="false">B10*C$14</f>
        <v>18.6984</v>
      </c>
      <c r="D10" s="5" t="n">
        <f aca="false">C10*1000*VLOOKUP($A10,emissions,2,0)</f>
        <v>841428</v>
      </c>
      <c r="E10" s="12" t="n">
        <v>0.045</v>
      </c>
      <c r="F10" s="5" t="n">
        <f aca="false">E10*F$14</f>
        <v>1282.95</v>
      </c>
      <c r="G10" s="5" t="n">
        <f aca="false">F10*1000*VLOOKUP($A10,emissions,2,0)</f>
        <v>57732750</v>
      </c>
    </row>
    <row r="11" customFormat="false" ht="26.85" hidden="false" customHeight="false" outlineLevel="0" collapsed="false">
      <c r="A11" s="4" t="s">
        <v>8</v>
      </c>
      <c r="B11" s="12" t="n">
        <v>0.111</v>
      </c>
      <c r="C11" s="5" t="n">
        <f aca="false">B11*C$14</f>
        <v>49.4172</v>
      </c>
      <c r="D11" s="5" t="n">
        <f aca="false">C11*1000*VLOOKUP($A11,emissions,2,0)</f>
        <v>1186012.8</v>
      </c>
      <c r="E11" s="12" t="n">
        <v>0.151</v>
      </c>
      <c r="F11" s="5" t="n">
        <f aca="false">E11*F$14</f>
        <v>4305.01</v>
      </c>
      <c r="G11" s="5" t="n">
        <f aca="false">F11*1000*VLOOKUP($A11,emissions,2,0)</f>
        <v>103320240</v>
      </c>
    </row>
    <row r="12" customFormat="false" ht="14.15" hidden="false" customHeight="false" outlineLevel="0" collapsed="false">
      <c r="A12" s="4" t="s">
        <v>9</v>
      </c>
      <c r="B12" s="12" t="n">
        <v>0.627</v>
      </c>
      <c r="C12" s="5" t="n">
        <f aca="false">B12*C$14</f>
        <v>279.1404</v>
      </c>
      <c r="D12" s="5" t="n">
        <f aca="false">C12*1000*VLOOKUP($A12,emissions,2,0)</f>
        <v>3349684.8</v>
      </c>
      <c r="E12" s="12" t="n">
        <v>0.092</v>
      </c>
      <c r="F12" s="5" t="n">
        <f aca="false">E12*F$14</f>
        <v>2622.92</v>
      </c>
      <c r="G12" s="5" t="n">
        <f aca="false">F12*1000*VLOOKUP($A12,emissions,2,0)</f>
        <v>31475040</v>
      </c>
    </row>
    <row r="13" customFormat="false" ht="14.15" hidden="false" customHeight="false" outlineLevel="0" collapsed="false">
      <c r="A13" s="4" t="s">
        <v>10</v>
      </c>
      <c r="B13" s="12" t="n">
        <v>0.085</v>
      </c>
      <c r="C13" s="5" t="n">
        <f aca="false">B13*C$14</f>
        <v>37.842</v>
      </c>
      <c r="D13" s="5" t="n">
        <f aca="false">C13*1000*VLOOKUP($A13,emissions,2,0)</f>
        <v>416262</v>
      </c>
      <c r="E13" s="12" t="n">
        <v>0.076</v>
      </c>
      <c r="F13" s="5" t="n">
        <f aca="false">E13*F$14</f>
        <v>2166.76</v>
      </c>
      <c r="G13" s="5" t="n">
        <f aca="false">F13*1000*VLOOKUP($A13,emissions,2,0)</f>
        <v>23834360</v>
      </c>
    </row>
    <row r="14" customFormat="false" ht="27.75" hidden="false" customHeight="false" outlineLevel="0" collapsed="false">
      <c r="A14" s="13" t="s">
        <v>24</v>
      </c>
      <c r="B14" s="10" t="n">
        <f aca="false">SUM(B7,B8,B9,B10,B11,B12,B13)</f>
        <v>0.97</v>
      </c>
      <c r="C14" s="0" t="n">
        <v>445.2</v>
      </c>
      <c r="D14" s="14" t="n">
        <f aca="false">SUM(D7,D8,D9,D10,D11,D12,D13)</f>
        <v>29580423.6</v>
      </c>
      <c r="E14" s="10" t="n">
        <f aca="false">SUM(E7,E8,E9,E10,E11,E12,E13)</f>
        <v>0.967</v>
      </c>
      <c r="F14" s="0" t="n">
        <v>28510</v>
      </c>
      <c r="G14" s="14" t="n">
        <f aca="false">SUM(G7,G8,G9,G10,G11,G12,G13)</f>
        <v>11821072790</v>
      </c>
    </row>
    <row r="17" customFormat="false" ht="12.8" hidden="false" customHeight="false" outlineLevel="0" collapsed="false">
      <c r="D17" s="14" t="n">
        <v>29580423.6</v>
      </c>
      <c r="G17" s="14" t="n">
        <v>11821072790</v>
      </c>
    </row>
    <row r="20" customFormat="false" ht="58.1" hidden="false" customHeight="false" outlineLevel="0" collapsed="false">
      <c r="C20" s="8" t="s">
        <v>25</v>
      </c>
      <c r="D20" s="0" t="n">
        <f aca="false">D17*F14/C14</f>
        <v>1894289930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4:Z21"/>
  <sheetViews>
    <sheetView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0" workbookViewId="0">
      <selection pane="topLeft" activeCell="Z15" activeCellId="0" sqref="Z15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24.73"/>
    <col collapsed="false" customWidth="true" hidden="false" outlineLevel="0" max="3" min="3" style="0" width="15.28"/>
    <col collapsed="false" customWidth="true" hidden="false" outlineLevel="0" max="5" min="5" style="0" width="12.78"/>
    <col collapsed="false" customWidth="true" hidden="false" outlineLevel="0" max="6" min="6" style="0" width="20.18"/>
    <col collapsed="false" customWidth="true" hidden="false" outlineLevel="0" max="13" min="13" style="0" width="25.56"/>
    <col collapsed="false" customWidth="true" hidden="false" outlineLevel="0" max="14" min="14" style="0" width="17.78"/>
    <col collapsed="false" customWidth="true" hidden="false" outlineLevel="0" max="20" min="20" style="0" width="18.8"/>
    <col collapsed="false" customWidth="true" hidden="false" outlineLevel="0" max="21" min="21" style="0" width="17.41"/>
    <col collapsed="false" customWidth="true" hidden="false" outlineLevel="0" max="22" min="22" style="0" width="16.48"/>
    <col collapsed="false" customWidth="true" hidden="false" outlineLevel="0" max="23" min="23" style="0" width="16.3"/>
    <col collapsed="false" customWidth="true" hidden="false" outlineLevel="0" max="24" min="24" style="0" width="17.87"/>
    <col collapsed="false" customWidth="true" hidden="false" outlineLevel="0" max="25" min="25" style="0" width="17.32"/>
    <col collapsed="false" customWidth="true" hidden="false" outlineLevel="0" max="26" min="26" style="0" width="17.51"/>
  </cols>
  <sheetData>
    <row r="4" customFormat="false" ht="12.8" hidden="false" customHeight="false" outlineLevel="0" collapsed="false">
      <c r="B4" s="0" t="s">
        <v>26</v>
      </c>
      <c r="F4" s="0" t="s">
        <v>27</v>
      </c>
      <c r="M4" s="0" t="s">
        <v>28</v>
      </c>
    </row>
    <row r="5" customFormat="false" ht="12.8" hidden="false" customHeight="false" outlineLevel="0" collapsed="false">
      <c r="M5" s="15" t="s">
        <v>29</v>
      </c>
      <c r="N5" s="16"/>
      <c r="O5" s="16"/>
      <c r="P5" s="16"/>
      <c r="Q5" s="16"/>
      <c r="R5" s="16"/>
      <c r="S5" s="16"/>
      <c r="T5" s="17" t="s">
        <v>30</v>
      </c>
      <c r="U5" s="17"/>
      <c r="V5" s="17"/>
      <c r="W5" s="17"/>
      <c r="X5" s="17"/>
      <c r="Y5" s="17"/>
      <c r="Z5" s="17"/>
    </row>
    <row r="6" customFormat="false" ht="40.25" hidden="false" customHeight="false" outlineLevel="0" collapsed="false">
      <c r="A6" s="18" t="s">
        <v>31</v>
      </c>
      <c r="B6" s="19" t="s">
        <v>32</v>
      </c>
      <c r="C6" s="20" t="s">
        <v>33</v>
      </c>
      <c r="D6" s="20" t="s">
        <v>34</v>
      </c>
      <c r="E6" s="21" t="s">
        <v>35</v>
      </c>
      <c r="F6" s="22" t="s">
        <v>3</v>
      </c>
      <c r="G6" s="22" t="s">
        <v>4</v>
      </c>
      <c r="H6" s="22" t="s">
        <v>5</v>
      </c>
      <c r="I6" s="22" t="s">
        <v>6</v>
      </c>
      <c r="J6" s="22" t="s">
        <v>8</v>
      </c>
      <c r="K6" s="22" t="s">
        <v>9</v>
      </c>
      <c r="L6" s="22" t="s">
        <v>10</v>
      </c>
      <c r="M6" s="23" t="s">
        <v>3</v>
      </c>
      <c r="N6" s="23" t="s">
        <v>4</v>
      </c>
      <c r="O6" s="23" t="s">
        <v>5</v>
      </c>
      <c r="P6" s="23" t="s">
        <v>6</v>
      </c>
      <c r="Q6" s="23" t="s">
        <v>8</v>
      </c>
      <c r="R6" s="23" t="s">
        <v>9</v>
      </c>
      <c r="S6" s="23" t="s">
        <v>10</v>
      </c>
      <c r="T6" s="24" t="s">
        <v>3</v>
      </c>
      <c r="U6" s="24" t="s">
        <v>4</v>
      </c>
      <c r="V6" s="24" t="s">
        <v>5</v>
      </c>
      <c r="W6" s="24" t="s">
        <v>6</v>
      </c>
      <c r="X6" s="24" t="s">
        <v>8</v>
      </c>
      <c r="Y6" s="24" t="s">
        <v>9</v>
      </c>
      <c r="Z6" s="24" t="s">
        <v>10</v>
      </c>
    </row>
    <row r="7" customFormat="false" ht="14.4" hidden="false" customHeight="false" outlineLevel="0" collapsed="false">
      <c r="A7" s="25" t="s">
        <v>36</v>
      </c>
      <c r="B7" s="26" t="n">
        <v>41306</v>
      </c>
      <c r="C7" s="27" t="n">
        <v>0.06</v>
      </c>
      <c r="D7" s="28" t="n">
        <v>595</v>
      </c>
      <c r="E7" s="29" t="n">
        <f aca="false">D7/C7/1000</f>
        <v>9.91666666666667</v>
      </c>
      <c r="F7" s="14" t="n">
        <f aca="false">VLOOKUP(F$6,emissions,2,0) *$E7*$C7*2.778*365*24*36 / 100000000</f>
        <v>4.27434592032</v>
      </c>
      <c r="G7" s="14" t="n">
        <f aca="false">VLOOKUP(G$6,emissions,2,0) *$E7*$C7*2.778*365*24*36 / 100000000</f>
        <v>2.55418231824</v>
      </c>
      <c r="H7" s="14" t="n">
        <f aca="false">VLOOKUP(H$6,emissions,2,0) *$E7*$C7*2.778*365*24*36 / 100000000</f>
        <v>1.19890190448</v>
      </c>
      <c r="I7" s="14" t="n">
        <f aca="false">VLOOKUP(I$6,emissions,2,0) *$E7*$C7*2.778*365*24*36 / 100000000</f>
        <v>0.23456776392</v>
      </c>
      <c r="J7" s="14" t="n">
        <f aca="false">VLOOKUP(J$6,emissions,2,0) *$E7*$C7*2.778*365*24*36 / 100000000</f>
        <v>0.125102807424</v>
      </c>
      <c r="K7" s="14" t="n">
        <f aca="false">VLOOKUP(K$6,emissions,2,0) *$E7*$C7*2.778*365*24*36 / 100000000</f>
        <v>0.062551403712</v>
      </c>
      <c r="L7" s="14" t="n">
        <f aca="false">VLOOKUP(L$6,emissions,2,0) *$E7*$C7*2.778*365*24*36 / 100000000</f>
        <v>0.057338786736</v>
      </c>
      <c r="M7" s="14" t="n">
        <f aca="false">F7*$C$21/$C7/1000000</f>
        <v>25163.2420332118</v>
      </c>
      <c r="N7" s="14" t="n">
        <f aca="false">G7*$C$21/$C7/1000000</f>
        <v>15036.5714588704</v>
      </c>
      <c r="O7" s="14" t="n">
        <f aca="false">H7*$C$21/$C7/1000000</f>
        <v>7057.98252151062</v>
      </c>
      <c r="P7" s="14" t="n">
        <f aca="false">I7*$C$21/$C7/1000000</f>
        <v>1380.90962377382</v>
      </c>
      <c r="Q7" s="14" t="n">
        <f aca="false">J7*$C$21/$C7/1000000</f>
        <v>736.485132679369</v>
      </c>
      <c r="R7" s="14" t="n">
        <f aca="false">K7*$C$21/$C7/1000000</f>
        <v>368.242566339684</v>
      </c>
      <c r="S7" s="14" t="n">
        <f aca="false">L7*$C$21/$C7/1000000</f>
        <v>337.555685811377</v>
      </c>
      <c r="T7" s="14" t="n">
        <f aca="false">M7*$C$18/$C7/1000000</f>
        <v>70541425009.0402</v>
      </c>
      <c r="U7" s="14" t="n">
        <f aca="false">N7*$C$18/$C7/1000000</f>
        <v>42152802749.3045</v>
      </c>
      <c r="V7" s="14" t="n">
        <f aca="false">O7*$C$18/$C7/1000000</f>
        <v>19786009453.7552</v>
      </c>
      <c r="W7" s="14" t="n">
        <f aca="false">P7*$C$18/$C7/1000000</f>
        <v>3871175762.69123</v>
      </c>
      <c r="X7" s="14" t="n">
        <f aca="false">Q7*$C$18/$C7/1000000</f>
        <v>2064627073.43532</v>
      </c>
      <c r="Y7" s="14" t="n">
        <f aca="false">R7*$C$18/$C7/1000000</f>
        <v>1032313536.71766</v>
      </c>
      <c r="Z7" s="14" t="n">
        <f aca="false">S7*$C$18/$C7/1000000</f>
        <v>946287408.657856</v>
      </c>
    </row>
    <row r="8" customFormat="false" ht="39.55" hidden="false" customHeight="false" outlineLevel="0" collapsed="false">
      <c r="A8" s="25" t="s">
        <v>37</v>
      </c>
      <c r="B8" s="26" t="n">
        <v>41579</v>
      </c>
      <c r="C8" s="27" t="n">
        <v>0.18</v>
      </c>
      <c r="D8" s="28" t="n">
        <v>360</v>
      </c>
      <c r="E8" s="29" t="n">
        <f aca="false">D8/C8/1000</f>
        <v>2</v>
      </c>
      <c r="F8" s="14" t="n">
        <f aca="false">VLOOKUP(F$6,emissions,2,0) *$E8*$C8*2.778*365*24*36 / 100000000</f>
        <v>2.58615887616</v>
      </c>
      <c r="G8" s="14" t="n">
        <f aca="false">VLOOKUP(G$6,emissions,2,0) *$E8*$C8*2.778*365*24*36 / 100000000</f>
        <v>1.54538762112</v>
      </c>
      <c r="H8" s="14" t="n">
        <f aca="false">VLOOKUP(H$6,emissions,2,0) *$E8*$C8*2.778*365*24*36 / 100000000</f>
        <v>0.72538602624</v>
      </c>
      <c r="I8" s="14" t="n">
        <f aca="false">VLOOKUP(I$6,emissions,2,0) *$E8*$C8*2.778*365*24*36 / 100000000</f>
        <v>0.14192335296</v>
      </c>
      <c r="J8" s="14" t="n">
        <f aca="false">VLOOKUP(J$6,emissions,2,0) *$E8*$C8*2.778*365*24*36 / 100000000</f>
        <v>0.075692454912</v>
      </c>
      <c r="K8" s="14" t="n">
        <f aca="false">VLOOKUP(K$6,emissions,2,0) *$E8*$C8*2.778*365*24*36 / 100000000</f>
        <v>0.037846227456</v>
      </c>
      <c r="L8" s="14" t="n">
        <f aca="false">VLOOKUP(L$6,emissions,2,0) *$E8*$C8*2.778*365*24*36 / 100000000</f>
        <v>0.034692375168</v>
      </c>
      <c r="M8" s="14" t="n">
        <f aca="false">F8*$C$21/$C8/1000000</f>
        <v>5074.93956972338</v>
      </c>
      <c r="N8" s="14" t="n">
        <f aca="false">G8*$C$21/$C8/1000000</f>
        <v>3032.58584044446</v>
      </c>
      <c r="O8" s="14" t="n">
        <f aca="false">H8*$C$21/$C8/1000000</f>
        <v>1423.45865980046</v>
      </c>
      <c r="P8" s="14" t="n">
        <f aca="false">I8*$C$21/$C8/1000000</f>
        <v>278.502781265307</v>
      </c>
      <c r="Q8" s="14" t="n">
        <f aca="false">J8*$C$21/$C8/1000000</f>
        <v>148.534816674831</v>
      </c>
      <c r="R8" s="14" t="n">
        <f aca="false">K8*$C$21/$C8/1000000</f>
        <v>74.2674083374153</v>
      </c>
      <c r="S8" s="14" t="n">
        <f aca="false">L8*$C$21/$C8/1000000</f>
        <v>68.0784576426307</v>
      </c>
      <c r="T8" s="14" t="n">
        <f aca="false">M8*$C$18/$C8/1000000</f>
        <v>4742280672.87665</v>
      </c>
      <c r="U8" s="14" t="n">
        <f aca="false">N8*$C$18/$C8/1000000</f>
        <v>2833801865.49946</v>
      </c>
      <c r="V8" s="14" t="n">
        <f aca="false">O8*$C$18/$C8/1000000</f>
        <v>1330151896.05077</v>
      </c>
      <c r="W8" s="14" t="n">
        <f aca="false">P8*$C$18/$C8/1000000</f>
        <v>260247110.096889</v>
      </c>
      <c r="X8" s="14" t="n">
        <f aca="false">Q8*$C$18/$C8/1000000</f>
        <v>138798458.718341</v>
      </c>
      <c r="Y8" s="14" t="n">
        <f aca="false">R8*$C$18/$C8/1000000</f>
        <v>69399229.3591705</v>
      </c>
      <c r="Z8" s="14" t="n">
        <f aca="false">S8*$C$18/$C8/1000000</f>
        <v>63615960.2459063</v>
      </c>
    </row>
    <row r="9" customFormat="false" ht="39.55" hidden="false" customHeight="false" outlineLevel="0" collapsed="false">
      <c r="A9" s="25" t="s">
        <v>38</v>
      </c>
      <c r="B9" s="30" t="n">
        <v>45017</v>
      </c>
      <c r="C9" s="31" t="n">
        <v>136</v>
      </c>
      <c r="D9" s="31" t="n">
        <v>3264</v>
      </c>
      <c r="E9" s="29" t="n">
        <f aca="false">D9/C9/1000</f>
        <v>0.024</v>
      </c>
      <c r="F9" s="14" t="n">
        <f aca="false">VLOOKUP(F$6,emissions,2,0) *$E9*$C9*2.778*365*24*36 / 100000000</f>
        <v>23.447840477184</v>
      </c>
      <c r="G9" s="14" t="n">
        <f aca="false">VLOOKUP(G$6,emissions,2,0) *$E9*$C9*2.778*365*24*36 / 100000000</f>
        <v>14.011514431488</v>
      </c>
      <c r="H9" s="14" t="n">
        <f aca="false">VLOOKUP(H$6,emissions,2,0) *$E9*$C9*2.778*365*24*36 / 100000000</f>
        <v>6.576833304576</v>
      </c>
      <c r="I9" s="14" t="n">
        <f aca="false">VLOOKUP(I$6,emissions,2,0) *$E9*$C9*2.778*365*24*36 / 100000000</f>
        <v>1.286771733504</v>
      </c>
      <c r="J9" s="14" t="n">
        <f aca="false">VLOOKUP(J$6,emissions,2,0) *$E9*$C9*2.778*365*24*36 / 100000000</f>
        <v>0.6862782578688</v>
      </c>
      <c r="K9" s="14" t="n">
        <f aca="false">VLOOKUP(K$6,emissions,2,0) *$E9*$C9*2.778*365*24*36 / 100000000</f>
        <v>0.3431391289344</v>
      </c>
      <c r="L9" s="14" t="n">
        <f aca="false">VLOOKUP(L$6,emissions,2,0) *$E9*$C9*2.778*365*24*36 / 100000000</f>
        <v>0.3145442015232</v>
      </c>
      <c r="M9" s="14" t="n">
        <f aca="false">F9*$C$21/$C9/1000000</f>
        <v>60.8992748366806</v>
      </c>
      <c r="N9" s="14" t="n">
        <f aca="false">G9*$C$21/$C9/1000000</f>
        <v>36.3910300853335</v>
      </c>
      <c r="O9" s="14" t="n">
        <f aca="false">H9*$C$21/$C9/1000000</f>
        <v>17.0815039176055</v>
      </c>
      <c r="P9" s="14" t="n">
        <f aca="false">I9*$C$21/$C9/1000000</f>
        <v>3.34203337518369</v>
      </c>
      <c r="Q9" s="14" t="n">
        <f aca="false">J9*$C$21/$C9/1000000</f>
        <v>1.78241780009797</v>
      </c>
      <c r="R9" s="14" t="n">
        <f aca="false">K9*$C$21/$C9/1000000</f>
        <v>0.891208900048984</v>
      </c>
      <c r="S9" s="14" t="n">
        <f aca="false">L9*$C$21/$C9/1000000</f>
        <v>0.816941491711569</v>
      </c>
      <c r="T9" s="14" t="n">
        <f aca="false">M9*$C$18/$C9/1000000</f>
        <v>75318.5753927468</v>
      </c>
      <c r="U9" s="14" t="n">
        <f aca="false">N9*$C$18/$C9/1000000</f>
        <v>45007.4413932268</v>
      </c>
      <c r="V9" s="14" t="n">
        <f aca="false">O9*$C$18/$C9/1000000</f>
        <v>21125.9418784534</v>
      </c>
      <c r="W9" s="14" t="n">
        <f aca="false">P9*$C$18/$C9/1000000</f>
        <v>4133.33645448001</v>
      </c>
      <c r="X9" s="14" t="n">
        <f aca="false">Q9*$C$18/$C9/1000000</f>
        <v>2204.446109056</v>
      </c>
      <c r="Y9" s="14" t="n">
        <f aca="false">R9*$C$18/$C9/1000000</f>
        <v>1102.223054528</v>
      </c>
      <c r="Z9" s="14" t="n">
        <f aca="false">S9*$C$18/$C9/1000000</f>
        <v>1010.37113331734</v>
      </c>
    </row>
    <row r="10" customFormat="false" ht="39.55" hidden="false" customHeight="false" outlineLevel="0" collapsed="false">
      <c r="A10" s="25" t="s">
        <v>39</v>
      </c>
      <c r="B10" s="30" t="n">
        <v>45047</v>
      </c>
      <c r="C10" s="31" t="n">
        <v>150</v>
      </c>
      <c r="D10" s="31" t="n">
        <v>3300</v>
      </c>
      <c r="E10" s="29" t="n">
        <f aca="false">D10/C10/1000</f>
        <v>0.022</v>
      </c>
      <c r="F10" s="14" t="n">
        <f aca="false">VLOOKUP(F$6,emissions,2,0) *$E10*$C10*2.778*365*24*36 / 100000000</f>
        <v>23.7064563648</v>
      </c>
      <c r="G10" s="14" t="n">
        <f aca="false">VLOOKUP(G$6,emissions,2,0) *$E10*$C10*2.778*365*24*36 / 100000000</f>
        <v>14.1660531936</v>
      </c>
      <c r="H10" s="14" t="n">
        <f aca="false">VLOOKUP(H$6,emissions,2,0) *$E10*$C10*2.778*365*24*36 / 100000000</f>
        <v>6.6493719072</v>
      </c>
      <c r="I10" s="14" t="n">
        <f aca="false">VLOOKUP(I$6,emissions,2,0) *$E10*$C10*2.778*365*24*36 / 100000000</f>
        <v>1.3009640688</v>
      </c>
      <c r="J10" s="14" t="n">
        <f aca="false">VLOOKUP(J$6,emissions,2,0) *$E10*$C10*2.778*365*24*36 / 100000000</f>
        <v>0.69384750336</v>
      </c>
      <c r="K10" s="14" t="n">
        <f aca="false">VLOOKUP(K$6,emissions,2,0) *$E10*$C10*2.778*365*24*36 / 100000000</f>
        <v>0.34692375168</v>
      </c>
      <c r="L10" s="14" t="n">
        <f aca="false">VLOOKUP(L$6,emissions,2,0) *$E10*$C10*2.778*365*24*36 / 100000000</f>
        <v>0.31801343904</v>
      </c>
      <c r="M10" s="14" t="n">
        <f aca="false">F10*$C$21/$C10/1000000</f>
        <v>55.8243352669572</v>
      </c>
      <c r="N10" s="14" t="n">
        <f aca="false">G10*$C$21/$C10/1000000</f>
        <v>33.3584442448891</v>
      </c>
      <c r="O10" s="14" t="n">
        <f aca="false">H10*$C$21/$C10/1000000</f>
        <v>15.6580452578051</v>
      </c>
      <c r="P10" s="14" t="n">
        <f aca="false">I10*$C$21/$C10/1000000</f>
        <v>3.06353059391838</v>
      </c>
      <c r="Q10" s="14" t="n">
        <f aca="false">J10*$C$21/$C10/1000000</f>
        <v>1.63388298342314</v>
      </c>
      <c r="R10" s="14" t="n">
        <f aca="false">K10*$C$21/$C10/1000000</f>
        <v>0.816941491711569</v>
      </c>
      <c r="S10" s="14" t="n">
        <f aca="false">L10*$C$21/$C10/1000000</f>
        <v>0.748863034068938</v>
      </c>
      <c r="T10" s="14" t="n">
        <f aca="false">M10*$C$18/$C10/1000000</f>
        <v>62598.1048819718</v>
      </c>
      <c r="U10" s="14" t="n">
        <f aca="false">N10*$C$18/$C10/1000000</f>
        <v>37406.1846245929</v>
      </c>
      <c r="V10" s="14" t="n">
        <f aca="false">O10*$C$18/$C10/1000000</f>
        <v>17558.0050278701</v>
      </c>
      <c r="W10" s="14" t="n">
        <f aca="false">P10*$C$18/$C10/1000000</f>
        <v>3435.26185327894</v>
      </c>
      <c r="X10" s="14" t="n">
        <f aca="false">Q10*$C$18/$C10/1000000</f>
        <v>1832.1396550821</v>
      </c>
      <c r="Y10" s="14" t="n">
        <f aca="false">R10*$C$18/$C10/1000000</f>
        <v>916.069827541051</v>
      </c>
      <c r="Z10" s="14" t="n">
        <f aca="false">S10*$C$18/$C10/1000000</f>
        <v>839.730675245963</v>
      </c>
    </row>
    <row r="11" customFormat="false" ht="39.55" hidden="false" customHeight="false" outlineLevel="0" collapsed="false">
      <c r="A11" s="25" t="s">
        <v>40</v>
      </c>
      <c r="B11" s="30" t="n">
        <v>45078</v>
      </c>
      <c r="C11" s="31" t="n">
        <v>151</v>
      </c>
      <c r="D11" s="31" t="n">
        <v>3247</v>
      </c>
      <c r="E11" s="29" t="n">
        <f aca="false">D11/C11/1000</f>
        <v>0.0215033112582781</v>
      </c>
      <c r="F11" s="14" t="n">
        <f aca="false">VLOOKUP(F$6,emissions,2,0) *$E11*$C11*2.778*365*24*36 / 100000000</f>
        <v>23.325716308032</v>
      </c>
      <c r="G11" s="14" t="n">
        <f aca="false">VLOOKUP(G$6,emissions,2,0) *$E11*$C11*2.778*365*24*36 / 100000000</f>
        <v>13.938537793824</v>
      </c>
      <c r="H11" s="14" t="n">
        <f aca="false">VLOOKUP(H$6,emissions,2,0) *$E11*$C11*2.778*365*24*36 / 100000000</f>
        <v>6.542578964448</v>
      </c>
      <c r="I11" s="14" t="n">
        <f aca="false">VLOOKUP(I$6,emissions,2,0) *$E11*$C11*2.778*365*24*36 / 100000000</f>
        <v>1.280069797392</v>
      </c>
      <c r="J11" s="14" t="n">
        <f aca="false">VLOOKUP(J$6,emissions,2,0) *$E11*$C11*2.778*365*24*36 / 100000000</f>
        <v>0.6827038919424</v>
      </c>
      <c r="K11" s="14" t="n">
        <f aca="false">VLOOKUP(K$6,emissions,2,0) *$E11*$C11*2.778*365*24*36 / 100000000</f>
        <v>0.3413519459712</v>
      </c>
      <c r="L11" s="14" t="n">
        <f aca="false">VLOOKUP(L$6,emissions,2,0) *$E11*$C11*2.778*365*24*36 / 100000000</f>
        <v>0.3129059504736</v>
      </c>
      <c r="M11" s="14" t="n">
        <f aca="false">F11*$C$21/$C11/1000000</f>
        <v>54.564002592357</v>
      </c>
      <c r="N11" s="14" t="n">
        <f aca="false">G11*$C$21/$C11/1000000</f>
        <v>32.6053186222621</v>
      </c>
      <c r="O11" s="14" t="n">
        <f aca="false">H11*$C$21/$C11/1000000</f>
        <v>15.3045373124904</v>
      </c>
      <c r="P11" s="14" t="n">
        <f aca="false">I11*$C$21/$C11/1000000</f>
        <v>2.99436599592203</v>
      </c>
      <c r="Q11" s="14" t="n">
        <f aca="false">J11*$C$21/$C11/1000000</f>
        <v>1.59699519782508</v>
      </c>
      <c r="R11" s="14" t="n">
        <f aca="false">K11*$C$21/$C11/1000000</f>
        <v>0.798497598912542</v>
      </c>
      <c r="S11" s="14" t="n">
        <f aca="false">L11*$C$21/$C11/1000000</f>
        <v>0.731956132336497</v>
      </c>
      <c r="T11" s="14" t="n">
        <f aca="false">M11*$C$18/$C11/1000000</f>
        <v>60779.6447978046</v>
      </c>
      <c r="U11" s="14" t="n">
        <f aca="false">N11*$C$18/$C11/1000000</f>
        <v>36319.5438425906</v>
      </c>
      <c r="V11" s="14" t="n">
        <f aca="false">O11*$C$18/$C11/1000000</f>
        <v>17047.9491506037</v>
      </c>
      <c r="W11" s="14" t="n">
        <f aca="false">P11*$C$18/$C11/1000000</f>
        <v>3335.46831207464</v>
      </c>
      <c r="X11" s="14" t="n">
        <f aca="false">Q11*$C$18/$C11/1000000</f>
        <v>1778.91643310648</v>
      </c>
      <c r="Y11" s="14" t="n">
        <f aca="false">R11*$C$18/$C11/1000000</f>
        <v>889.458216553239</v>
      </c>
      <c r="Z11" s="14" t="n">
        <f aca="false">S11*$C$18/$C11/1000000</f>
        <v>815.336698507136</v>
      </c>
    </row>
    <row r="12" customFormat="false" ht="39.55" hidden="false" customHeight="false" outlineLevel="0" collapsed="false">
      <c r="A12" s="25" t="s">
        <v>41</v>
      </c>
      <c r="B12" s="30" t="n">
        <v>45170</v>
      </c>
      <c r="C12" s="31" t="n">
        <v>200</v>
      </c>
      <c r="D12" s="31" t="n">
        <v>3500</v>
      </c>
      <c r="E12" s="29" t="n">
        <f aca="false">D12/C12/1000</f>
        <v>0.0175</v>
      </c>
      <c r="F12" s="14" t="n">
        <f aca="false">VLOOKUP(F$6,emissions,2,0) *$E12*$C12*2.778*365*24*36 / 100000000</f>
        <v>25.143211296</v>
      </c>
      <c r="G12" s="14" t="n">
        <f aca="false">VLOOKUP(G$6,emissions,2,0) *$E12*$C12*2.778*365*24*36 / 100000000</f>
        <v>15.024601872</v>
      </c>
      <c r="H12" s="14" t="n">
        <f aca="false">VLOOKUP(H$6,emissions,2,0) *$E12*$C12*2.778*365*24*36 / 100000000</f>
        <v>7.052364144</v>
      </c>
      <c r="I12" s="14" t="n">
        <f aca="false">VLOOKUP(I$6,emissions,2,0) *$E12*$C12*2.778*365*24*36 / 100000000</f>
        <v>1.379810376</v>
      </c>
      <c r="J12" s="14" t="n">
        <f aca="false">VLOOKUP(J$6,emissions,2,0) *$E12*$C12*2.778*365*24*36 / 100000000</f>
        <v>0.7358988672</v>
      </c>
      <c r="K12" s="14" t="n">
        <f aca="false">VLOOKUP(K$6,emissions,2,0) *$E12*$C12*2.778*365*24*36 / 100000000</f>
        <v>0.3679494336</v>
      </c>
      <c r="L12" s="14" t="n">
        <f aca="false">VLOOKUP(L$6,emissions,2,0) *$E12*$C12*2.778*365*24*36 / 100000000</f>
        <v>0.3372869808</v>
      </c>
      <c r="M12" s="14" t="n">
        <f aca="false">F12*$C$21/$C12/1000000</f>
        <v>44.4057212350796</v>
      </c>
      <c r="N12" s="14" t="n">
        <f aca="false">G12*$C$21/$C12/1000000</f>
        <v>26.535126103889</v>
      </c>
      <c r="O12" s="14" t="n">
        <f aca="false">H12*$C$21/$C12/1000000</f>
        <v>12.455263273254</v>
      </c>
      <c r="P12" s="14" t="n">
        <f aca="false">I12*$C$21/$C12/1000000</f>
        <v>2.43689933607144</v>
      </c>
      <c r="Q12" s="14" t="n">
        <f aca="false">J12*$C$21/$C12/1000000</f>
        <v>1.29967964590477</v>
      </c>
      <c r="R12" s="14" t="n">
        <f aca="false">K12*$C$21/$C12/1000000</f>
        <v>0.649839822952384</v>
      </c>
      <c r="S12" s="14" t="n">
        <f aca="false">L12*$C$21/$C12/1000000</f>
        <v>0.595686504373019</v>
      </c>
      <c r="T12" s="14" t="n">
        <f aca="false">M12*$C$18/$C12/1000000</f>
        <v>37345.4602989036</v>
      </c>
      <c r="U12" s="14" t="n">
        <f aca="false">N12*$C$18/$C12/1000000</f>
        <v>22316.1896908083</v>
      </c>
      <c r="V12" s="14" t="n">
        <f aca="false">O12*$C$18/$C12/1000000</f>
        <v>10474.9461813998</v>
      </c>
      <c r="W12" s="14" t="n">
        <f aca="false">P12*$C$18/$C12/1000000</f>
        <v>2049.445992013</v>
      </c>
      <c r="X12" s="14" t="n">
        <f aca="false">Q12*$C$18/$C12/1000000</f>
        <v>1093.03786240694</v>
      </c>
      <c r="Y12" s="14" t="n">
        <f aca="false">R12*$C$18/$C12/1000000</f>
        <v>546.518931203468</v>
      </c>
      <c r="Z12" s="14" t="n">
        <f aca="false">S12*$C$18/$C12/1000000</f>
        <v>500.975686936512</v>
      </c>
    </row>
    <row r="13" customFormat="false" ht="39.55" hidden="false" customHeight="false" outlineLevel="0" collapsed="false">
      <c r="A13" s="25" t="s">
        <v>42</v>
      </c>
      <c r="B13" s="30" t="n">
        <v>45170</v>
      </c>
      <c r="C13" s="31" t="n">
        <v>335</v>
      </c>
      <c r="D13" s="31" t="n">
        <v>5360</v>
      </c>
      <c r="E13" s="29" t="n">
        <f aca="false">D13/C13/1000</f>
        <v>0.016</v>
      </c>
      <c r="F13" s="14" t="n">
        <f aca="false">VLOOKUP(F$6,emissions,2,0) *$E13*$C13*2.778*365*24*36 / 100000000</f>
        <v>38.50503215616</v>
      </c>
      <c r="G13" s="14" t="n">
        <f aca="false">VLOOKUP(G$6,emissions,2,0) *$E13*$C13*2.778*365*24*36 / 100000000</f>
        <v>23.00910458112</v>
      </c>
      <c r="H13" s="14" t="n">
        <f aca="false">VLOOKUP(H$6,emissions,2,0) *$E13*$C13*2.778*365*24*36 / 100000000</f>
        <v>10.80019194624</v>
      </c>
      <c r="I13" s="14" t="n">
        <f aca="false">VLOOKUP(I$6,emissions,2,0) *$E13*$C13*2.778*365*24*36 / 100000000</f>
        <v>2.11308103296</v>
      </c>
      <c r="J13" s="14" t="n">
        <f aca="false">VLOOKUP(J$6,emissions,2,0) *$E13*$C13*2.778*365*24*36 / 100000000</f>
        <v>1.126976550912</v>
      </c>
      <c r="K13" s="14" t="n">
        <f aca="false">VLOOKUP(K$6,emissions,2,0) *$E13*$C13*2.778*365*24*36 / 100000000</f>
        <v>0.563488275456</v>
      </c>
      <c r="L13" s="14" t="n">
        <f aca="false">VLOOKUP(L$6,emissions,2,0) *$E13*$C13*2.778*365*24*36 / 100000000</f>
        <v>0.516530919168</v>
      </c>
      <c r="M13" s="14" t="n">
        <f aca="false">F13*$C$21/$C13/1000000</f>
        <v>40.5995165577871</v>
      </c>
      <c r="N13" s="14" t="n">
        <f aca="false">G13*$C$21/$C13/1000000</f>
        <v>24.2606867235557</v>
      </c>
      <c r="O13" s="14" t="n">
        <f aca="false">H13*$C$21/$C13/1000000</f>
        <v>11.3876692784037</v>
      </c>
      <c r="P13" s="14" t="n">
        <f aca="false">I13*$C$21/$C13/1000000</f>
        <v>2.22802225012246</v>
      </c>
      <c r="Q13" s="14" t="n">
        <f aca="false">J13*$C$21/$C13/1000000</f>
        <v>1.18827853339865</v>
      </c>
      <c r="R13" s="14" t="n">
        <f aca="false">K13*$C$21/$C13/1000000</f>
        <v>0.594139266699323</v>
      </c>
      <c r="S13" s="14" t="n">
        <f aca="false">L13*$C$21/$C13/1000000</f>
        <v>0.544627661141046</v>
      </c>
      <c r="T13" s="14" t="n">
        <f aca="false">M13*$C$18/$C13/1000000</f>
        <v>20384.7288625146</v>
      </c>
      <c r="U13" s="14" t="n">
        <f aca="false">N13*$C$18/$C13/1000000</f>
        <v>12181.1184666246</v>
      </c>
      <c r="V13" s="14" t="n">
        <f aca="false">O13*$C$18/$C13/1000000</f>
        <v>5717.66785168091</v>
      </c>
      <c r="W13" s="14" t="n">
        <f aca="false">P13*$C$18/$C13/1000000</f>
        <v>1118.67414489409</v>
      </c>
      <c r="X13" s="14" t="n">
        <f aca="false">Q13*$C$18/$C13/1000000</f>
        <v>596.626210610182</v>
      </c>
      <c r="Y13" s="14" t="n">
        <f aca="false">R13*$C$18/$C13/1000000</f>
        <v>298.313105305091</v>
      </c>
      <c r="Z13" s="14" t="n">
        <f aca="false">S13*$C$18/$C13/1000000</f>
        <v>273.453679863</v>
      </c>
    </row>
    <row r="14" customFormat="false" ht="27.35" hidden="false" customHeight="false" outlineLevel="0" collapsed="false">
      <c r="A14" s="25" t="s">
        <v>43</v>
      </c>
      <c r="B14" s="32" t="n">
        <v>45323</v>
      </c>
      <c r="C14" s="31" t="n">
        <v>186</v>
      </c>
      <c r="D14" s="31" t="n">
        <v>3441</v>
      </c>
      <c r="E14" s="29" t="n">
        <f aca="false">D14/C14/1000</f>
        <v>0.0185</v>
      </c>
      <c r="F14" s="14" t="n">
        <f aca="false">VLOOKUP(F$6,emissions,2,0) *$E14*$C14*2.778*365*24*36 / 100000000</f>
        <v>24.719368591296</v>
      </c>
      <c r="G14" s="14" t="n">
        <f aca="false">VLOOKUP(G$6,emissions,2,0) *$E14*$C14*2.778*365*24*36 / 100000000</f>
        <v>14.771330011872</v>
      </c>
      <c r="H14" s="14" t="n">
        <f aca="false">VLOOKUP(H$6,emissions,2,0) *$E14*$C14*2.778*365*24*36 / 100000000</f>
        <v>6.933481434144</v>
      </c>
      <c r="I14" s="14" t="n">
        <f aca="false">VLOOKUP(I$6,emissions,2,0) *$E14*$C14*2.778*365*24*36 / 100000000</f>
        <v>1.356550715376</v>
      </c>
      <c r="J14" s="14" t="n">
        <f aca="false">VLOOKUP(J$6,emissions,2,0) *$E14*$C14*2.778*365*24*36 / 100000000</f>
        <v>0.7234937148672</v>
      </c>
      <c r="K14" s="14" t="n">
        <f aca="false">VLOOKUP(K$6,emissions,2,0) *$E14*$C14*2.778*365*24*36 / 100000000</f>
        <v>0.3617468574336</v>
      </c>
      <c r="L14" s="14" t="n">
        <f aca="false">VLOOKUP(L$6,emissions,2,0) *$E14*$C14*2.778*365*24*36 / 100000000</f>
        <v>0.3316012859808</v>
      </c>
      <c r="M14" s="14" t="n">
        <f aca="false">F14*$C$21/$C14/1000000</f>
        <v>46.9431910199413</v>
      </c>
      <c r="N14" s="14" t="n">
        <f aca="false">G14*$C$21/$C14/1000000</f>
        <v>28.0514190241112</v>
      </c>
      <c r="O14" s="14" t="n">
        <f aca="false">H14*$C$21/$C14/1000000</f>
        <v>13.1669926031543</v>
      </c>
      <c r="P14" s="14" t="n">
        <f aca="false">I14*$C$21/$C14/1000000</f>
        <v>2.57615072670409</v>
      </c>
      <c r="Q14" s="14" t="n">
        <f aca="false">J14*$C$21/$C14/1000000</f>
        <v>1.37394705424218</v>
      </c>
      <c r="R14" s="14" t="n">
        <f aca="false">K14*$C$21/$C14/1000000</f>
        <v>0.686973527121092</v>
      </c>
      <c r="S14" s="14" t="n">
        <f aca="false">L14*$C$21/$C14/1000000</f>
        <v>0.629725733194334</v>
      </c>
      <c r="T14" s="14" t="n">
        <f aca="false">M14*$C$18/$C14/1000000</f>
        <v>42451.060862041</v>
      </c>
      <c r="U14" s="14" t="n">
        <f aca="false">N14*$C$18/$C14/1000000</f>
        <v>25367.0973443903</v>
      </c>
      <c r="V14" s="14" t="n">
        <f aca="false">O14*$C$18/$C14/1000000</f>
        <v>11907.0048759383</v>
      </c>
      <c r="W14" s="14" t="n">
        <f aca="false">P14*$C$18/$C14/1000000</f>
        <v>2329.63138877054</v>
      </c>
      <c r="X14" s="14" t="n">
        <f aca="false">Q14*$C$18/$C14/1000000</f>
        <v>1242.47007401096</v>
      </c>
      <c r="Y14" s="14" t="n">
        <f aca="false">R14*$C$18/$C14/1000000</f>
        <v>621.235037005478</v>
      </c>
      <c r="Z14" s="14" t="n">
        <f aca="false">S14*$C$18/$C14/1000000</f>
        <v>569.465450588355</v>
      </c>
    </row>
    <row r="15" customFormat="false" ht="40.25" hidden="false" customHeight="false" outlineLevel="0" collapsed="false">
      <c r="A15" s="25" t="s">
        <v>44</v>
      </c>
      <c r="B15" s="32" t="n">
        <v>45323</v>
      </c>
      <c r="C15" s="31" t="n">
        <v>190</v>
      </c>
      <c r="D15" s="31" t="n">
        <v>3610</v>
      </c>
      <c r="E15" s="29" t="n">
        <f aca="false">D15/C15/1000</f>
        <v>0.019</v>
      </c>
      <c r="F15" s="14" t="n">
        <f aca="false">VLOOKUP(F$6,emissions,2,0) *$E15*$C15*2.778*365*24*36 / 100000000</f>
        <v>25.93342650816</v>
      </c>
      <c r="G15" s="14" t="n">
        <f aca="false">VLOOKUP(G$6,emissions,2,0) *$E15*$C15*2.778*365*24*36 / 100000000</f>
        <v>15.49680364512</v>
      </c>
      <c r="H15" s="14" t="n">
        <f aca="false">VLOOKUP(H$6,emissions,2,0) *$E15*$C15*2.778*365*24*36 / 100000000</f>
        <v>7.27400987424</v>
      </c>
      <c r="I15" s="14" t="n">
        <f aca="false">VLOOKUP(I$6,emissions,2,0) *$E15*$C15*2.778*365*24*36 / 100000000</f>
        <v>1.42317584496</v>
      </c>
      <c r="J15" s="14" t="n">
        <f aca="false">VLOOKUP(J$6,emissions,2,0) *$E15*$C15*2.778*365*24*36 / 100000000</f>
        <v>0.759027117312</v>
      </c>
      <c r="K15" s="14" t="n">
        <f aca="false">VLOOKUP(K$6,emissions,2,0) *$E15*$C15*2.778*365*24*36 / 100000000</f>
        <v>0.379513558656</v>
      </c>
      <c r="L15" s="14" t="n">
        <f aca="false">VLOOKUP(L$6,emissions,2,0) *$E15*$C15*2.778*365*24*36 / 100000000</f>
        <v>0.347887428768</v>
      </c>
      <c r="M15" s="14" t="n">
        <f aca="false">F15*$C$21/$C15/1000000</f>
        <v>48.2119259123721</v>
      </c>
      <c r="N15" s="14" t="n">
        <f aca="false">G15*$C$21/$C15/1000000</f>
        <v>28.8095654842224</v>
      </c>
      <c r="O15" s="14" t="n">
        <f aca="false">H15*$C$21/$C15/1000000</f>
        <v>13.5228572681044</v>
      </c>
      <c r="P15" s="14" t="n">
        <f aca="false">I15*$C$21/$C15/1000000</f>
        <v>2.64577642202042</v>
      </c>
      <c r="Q15" s="14" t="n">
        <f aca="false">J15*$C$21/$C15/1000000</f>
        <v>1.41108075841089</v>
      </c>
      <c r="R15" s="14" t="n">
        <f aca="false">K15*$C$21/$C15/1000000</f>
        <v>0.705540379205445</v>
      </c>
      <c r="S15" s="14" t="n">
        <f aca="false">L15*$C$21/$C15/1000000</f>
        <v>0.646745347604992</v>
      </c>
      <c r="T15" s="14" t="n">
        <f aca="false">M15*$C$18/$C15/1000000</f>
        <v>42680.5260558898</v>
      </c>
      <c r="U15" s="14" t="n">
        <f aca="false">N15*$C$18/$C15/1000000</f>
        <v>25504.2167894952</v>
      </c>
      <c r="V15" s="14" t="n">
        <f aca="false">O15*$C$18/$C15/1000000</f>
        <v>11971.3670644569</v>
      </c>
      <c r="W15" s="14" t="n">
        <f aca="false">P15*$C$18/$C15/1000000</f>
        <v>2342.223990872</v>
      </c>
      <c r="X15" s="14" t="n">
        <f aca="false">Q15*$C$18/$C15/1000000</f>
        <v>1249.18612846507</v>
      </c>
      <c r="Y15" s="14" t="n">
        <f aca="false">R15*$C$18/$C15/1000000</f>
        <v>624.593064232534</v>
      </c>
      <c r="Z15" s="14" t="n">
        <f aca="false">S15*$C$18/$C15/1000000</f>
        <v>572.543642213157</v>
      </c>
    </row>
    <row r="18" customFormat="false" ht="69.15" hidden="false" customHeight="false" outlineLevel="0" collapsed="false">
      <c r="B18" s="0" t="s">
        <v>14</v>
      </c>
      <c r="C18" s="0" t="n">
        <v>168201120307</v>
      </c>
      <c r="M18" s="8"/>
    </row>
    <row r="19" customFormat="false" ht="12.8" hidden="false" customHeight="false" outlineLevel="0" collapsed="false">
      <c r="C19" s="10"/>
    </row>
    <row r="20" customFormat="false" ht="12.8" hidden="false" customHeight="false" outlineLevel="0" collapsed="false">
      <c r="B20" s="0" t="s">
        <v>15</v>
      </c>
      <c r="C20" s="10" t="n">
        <v>0.0021</v>
      </c>
    </row>
    <row r="21" customFormat="false" ht="12.8" hidden="false" customHeight="false" outlineLevel="0" collapsed="false">
      <c r="B21" s="0" t="s">
        <v>16</v>
      </c>
      <c r="C21" s="0" t="n">
        <f aca="false">C20*C18</f>
        <v>353222352.6447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S28"/>
  <sheetViews>
    <sheetView showFormulas="false" showGridLines="true" showRowColHeaders="true" showZeros="true" rightToLeft="false" tabSelected="false" showOutlineSymbols="true" defaultGridColor="true" view="normal" topLeftCell="A1" colorId="64" zoomScale="86" zoomScaleNormal="86" zoomScalePageLayoutView="100" workbookViewId="0">
      <selection pane="topLeft" activeCell="C37" activeCellId="0" sqref="C3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7.5"/>
    <col collapsed="false" customWidth="true" hidden="false" outlineLevel="0" max="2" min="2" style="0" width="16.86"/>
    <col collapsed="false" customWidth="true" hidden="false" outlineLevel="0" max="3" min="3" style="0" width="16.2"/>
    <col collapsed="false" customWidth="true" hidden="false" outlineLevel="0" max="10" min="9" style="0" width="16.96"/>
    <col collapsed="false" customWidth="true" hidden="false" outlineLevel="0" max="11" min="11" style="0" width="14.86"/>
    <col collapsed="false" customWidth="true" hidden="false" outlineLevel="0" max="14" min="12" style="0" width="13.78"/>
    <col collapsed="false" customWidth="true" hidden="false" outlineLevel="0" max="16" min="15" style="0" width="12.81"/>
    <col collapsed="false" customWidth="true" hidden="false" outlineLevel="0" max="17" min="17" style="0" width="16.64"/>
    <col collapsed="false" customWidth="true" hidden="false" outlineLevel="0" max="18" min="18" style="0" width="22.94"/>
    <col collapsed="false" customWidth="true" hidden="false" outlineLevel="0" max="19" min="19" style="0" width="18.41"/>
  </cols>
  <sheetData>
    <row r="2" customFormat="false" ht="12.8" hidden="false" customHeight="false" outlineLevel="0" collapsed="false">
      <c r="B2" s="0" t="n">
        <f aca="false">($B$21/VLOOKUP($A7,detail_mineur,3,0))*INDEX(detail_mineur,MATCH($A7, dm_row, 0),MATCH(B$6,dm_col,0))</f>
        <v>0</v>
      </c>
    </row>
    <row r="4" customFormat="false" ht="17.35" hidden="false" customHeight="true" outlineLevel="0" collapsed="false"/>
    <row r="5" customFormat="false" ht="37.3" hidden="false" customHeight="true" outlineLevel="0" collapsed="false">
      <c r="B5" s="3" t="s">
        <v>45</v>
      </c>
      <c r="J5" s="3" t="s">
        <v>46</v>
      </c>
    </row>
    <row r="6" customFormat="false" ht="55.5" hidden="false" customHeight="true" outlineLevel="0" collapsed="false">
      <c r="A6" s="18" t="s">
        <v>31</v>
      </c>
      <c r="B6" s="33" t="s">
        <v>3</v>
      </c>
      <c r="C6" s="33" t="s">
        <v>4</v>
      </c>
      <c r="D6" s="33" t="s">
        <v>5</v>
      </c>
      <c r="E6" s="33" t="s">
        <v>6</v>
      </c>
      <c r="F6" s="33" t="s">
        <v>8</v>
      </c>
      <c r="G6" s="33" t="s">
        <v>9</v>
      </c>
      <c r="H6" s="33" t="s">
        <v>10</v>
      </c>
      <c r="I6" s="23" t="s">
        <v>24</v>
      </c>
      <c r="J6" s="22" t="s">
        <v>3</v>
      </c>
      <c r="K6" s="22" t="s">
        <v>4</v>
      </c>
      <c r="L6" s="22" t="s">
        <v>5</v>
      </c>
      <c r="M6" s="22" t="s">
        <v>6</v>
      </c>
      <c r="N6" s="22" t="s">
        <v>8</v>
      </c>
      <c r="O6" s="22" t="s">
        <v>9</v>
      </c>
      <c r="P6" s="22" t="s">
        <v>10</v>
      </c>
      <c r="Q6" s="34" t="s">
        <v>24</v>
      </c>
      <c r="R6" s="23" t="s">
        <v>47</v>
      </c>
      <c r="S6" s="34" t="s">
        <v>48</v>
      </c>
    </row>
    <row r="7" customFormat="false" ht="14.15" hidden="false" customHeight="false" outlineLevel="0" collapsed="false">
      <c r="A7" s="25" t="s">
        <v>36</v>
      </c>
      <c r="B7" s="14" t="n">
        <f aca="false">VLOOKUP(B$6,fr_md_emissions,2,0)*mineur_global!M7</f>
        <v>150.979452199271</v>
      </c>
      <c r="C7" s="14" t="n">
        <f aca="false">VLOOKUP(C$6,fr_md_emissions,2,0)*mineur_global!N7</f>
        <v>1488.62057442817</v>
      </c>
      <c r="D7" s="14" t="n">
        <f aca="false">VLOOKUP(D$6,fr_md_emissions,2,0)*mineur_global!O7</f>
        <v>0</v>
      </c>
      <c r="E7" s="14" t="n">
        <f aca="false">VLOOKUP(E$6,fr_md_emissions,2,0)*mineur_global!P7</f>
        <v>57.9982041985003</v>
      </c>
      <c r="F7" s="14" t="n">
        <f aca="false">VLOOKUP(F$6,fr_md_emissions,2,0)*mineur_global!Q7</f>
        <v>81.7498497274099</v>
      </c>
      <c r="G7" s="14" t="n">
        <f aca="false">VLOOKUP(G$6,fr_md_emissions,2,0)*mineur_global!R7</f>
        <v>230.888089094982</v>
      </c>
      <c r="H7" s="14" t="n">
        <f aca="false">VLOOKUP(H$6,fr_md_emissions,2,0)*mineur_global!S7</f>
        <v>28.6922332939671</v>
      </c>
      <c r="I7" s="35" t="n">
        <f aca="false">SUM(B7:H7)</f>
        <v>2038.9284029423</v>
      </c>
      <c r="J7" s="14" t="n">
        <f aca="false">VLOOKUP(J$6,fr_md_emissions,5,0)*mineur_global!T7</f>
        <v>25183288728.2274</v>
      </c>
      <c r="K7" s="14" t="n">
        <f aca="false">VLOOKUP(K$6,fr_md_emissions,5,0)*mineur_global!U7</f>
        <v>9357922210.3456</v>
      </c>
      <c r="L7" s="14" t="n">
        <f aca="false">VLOOKUP(L$6,fr_md_emissions,5,0)*mineur_global!V7</f>
        <v>474864226.890124</v>
      </c>
      <c r="M7" s="14" t="n">
        <f aca="false">VLOOKUP(M$6,fr_md_emissions,5,0)*mineur_global!W7</f>
        <v>174202909.321105</v>
      </c>
      <c r="N7" s="14" t="n">
        <f aca="false">VLOOKUP(N$6,fr_md_emissions,5,0)*mineur_global!X7</f>
        <v>311758688.088734</v>
      </c>
      <c r="O7" s="14" t="n">
        <f aca="false">VLOOKUP(O$6,fr_md_emissions,5,0)*mineur_global!Y7</f>
        <v>94972845.3780248</v>
      </c>
      <c r="P7" s="14" t="n">
        <f aca="false">VLOOKUP(P$6,fr_md_emissions,5,0)*mineur_global!Z7</f>
        <v>71917843.0579971</v>
      </c>
      <c r="Q7" s="35" t="n">
        <f aca="false">SUM(J7:P7)</f>
        <v>35668927451.3089</v>
      </c>
      <c r="R7" s="35" t="n">
        <f aca="false">$I7*$C$20/$B$20</f>
        <v>970918.287115383</v>
      </c>
      <c r="S7" s="36" t="n">
        <f aca="false">1-(R7/Q7)</f>
        <v>0.999972779717348</v>
      </c>
    </row>
    <row r="8" customFormat="false" ht="14.15" hidden="false" customHeight="false" outlineLevel="0" collapsed="false">
      <c r="A8" s="25" t="s">
        <v>37</v>
      </c>
      <c r="B8" s="14" t="n">
        <f aca="false">VLOOKUP(B$6,fr_md_emissions,2,0)*mineur_global!M8</f>
        <v>30.4496374183403</v>
      </c>
      <c r="C8" s="14" t="n">
        <f aca="false">VLOOKUP(C$6,fr_md_emissions,2,0)*mineur_global!N8</f>
        <v>300.225998204001</v>
      </c>
      <c r="D8" s="14" t="n">
        <f aca="false">VLOOKUP(D$6,fr_md_emissions,2,0)*mineur_global!O8</f>
        <v>0</v>
      </c>
      <c r="E8" s="14" t="n">
        <f aca="false">VLOOKUP(E$6,fr_md_emissions,2,0)*mineur_global!P8</f>
        <v>11.6971168131429</v>
      </c>
      <c r="F8" s="14" t="n">
        <f aca="false">VLOOKUP(F$6,fr_md_emissions,2,0)*mineur_global!Q8</f>
        <v>16.4873646509062</v>
      </c>
      <c r="G8" s="14" t="n">
        <f aca="false">VLOOKUP(G$6,fr_md_emissions,2,0)*mineur_global!R8</f>
        <v>46.5656650275594</v>
      </c>
      <c r="H8" s="14" t="n">
        <f aca="false">VLOOKUP(H$6,fr_md_emissions,2,0)*mineur_global!S8</f>
        <v>5.78666889962361</v>
      </c>
      <c r="I8" s="35" t="n">
        <f aca="false">SUM(B8:H8)</f>
        <v>411.212451013574</v>
      </c>
      <c r="J8" s="14" t="n">
        <f aca="false">VLOOKUP(J$6,fr_md_emissions,5,0)*mineur_global!T8</f>
        <v>1692994200.21696</v>
      </c>
      <c r="K8" s="14" t="n">
        <f aca="false">VLOOKUP(K$6,fr_md_emissions,5,0)*mineur_global!U8</f>
        <v>629104014.140881</v>
      </c>
      <c r="L8" s="14" t="n">
        <f aca="false">VLOOKUP(L$6,fr_md_emissions,5,0)*mineur_global!V8</f>
        <v>31923645.5052184</v>
      </c>
      <c r="M8" s="14" t="n">
        <f aca="false">VLOOKUP(M$6,fr_md_emissions,5,0)*mineur_global!W8</f>
        <v>11711119.95436</v>
      </c>
      <c r="N8" s="14" t="n">
        <f aca="false">VLOOKUP(N$6,fr_md_emissions,5,0)*mineur_global!X8</f>
        <v>20958567.2664695</v>
      </c>
      <c r="O8" s="14" t="n">
        <f aca="false">VLOOKUP(O$6,fr_md_emissions,5,0)*mineur_global!Y8</f>
        <v>6384729.10104369</v>
      </c>
      <c r="P8" s="14" t="n">
        <f aca="false">VLOOKUP(P$6,fr_md_emissions,5,0)*mineur_global!Z8</f>
        <v>4834812.97868888</v>
      </c>
      <c r="Q8" s="35" t="n">
        <f aca="false">SUM(J8:P8)</f>
        <v>2397911089.16363</v>
      </c>
      <c r="R8" s="35" t="n">
        <f aca="false">$I8*$C$20/$B$20</f>
        <v>195815.452863607</v>
      </c>
      <c r="S8" s="36" t="n">
        <f aca="false">1-(R8/Q8)</f>
        <v>0.999918339152044</v>
      </c>
    </row>
    <row r="9" customFormat="false" ht="14.15" hidden="false" customHeight="false" outlineLevel="0" collapsed="false">
      <c r="A9" s="25" t="s">
        <v>38</v>
      </c>
      <c r="B9" s="14" t="n">
        <f aca="false">VLOOKUP(B$6,fr_md_emissions,2,0)*mineur_global!M9</f>
        <v>0.365395649020083</v>
      </c>
      <c r="C9" s="14" t="n">
        <f aca="false">VLOOKUP(C$6,fr_md_emissions,2,0)*mineur_global!N9</f>
        <v>3.60271197844802</v>
      </c>
      <c r="D9" s="14" t="n">
        <f aca="false">VLOOKUP(D$6,fr_md_emissions,2,0)*mineur_global!O9</f>
        <v>0</v>
      </c>
      <c r="E9" s="14" t="n">
        <f aca="false">VLOOKUP(E$6,fr_md_emissions,2,0)*mineur_global!P9</f>
        <v>0.140365401757715</v>
      </c>
      <c r="F9" s="14" t="n">
        <f aca="false">VLOOKUP(F$6,fr_md_emissions,2,0)*mineur_global!Q9</f>
        <v>0.197848375810874</v>
      </c>
      <c r="G9" s="14" t="n">
        <f aca="false">VLOOKUP(G$6,fr_md_emissions,2,0)*mineur_global!R9</f>
        <v>0.558787980330713</v>
      </c>
      <c r="H9" s="14" t="n">
        <f aca="false">VLOOKUP(H$6,fr_md_emissions,2,0)*mineur_global!S9</f>
        <v>0.0694400267954833</v>
      </c>
      <c r="I9" s="35" t="n">
        <f aca="false">SUM(B9:H9)</f>
        <v>4.93454941216289</v>
      </c>
      <c r="J9" s="14" t="n">
        <f aca="false">VLOOKUP(J$6,fr_md_emissions,5,0)*mineur_global!T9</f>
        <v>26888.7314152106</v>
      </c>
      <c r="K9" s="14" t="n">
        <f aca="false">VLOOKUP(K$6,fr_md_emissions,5,0)*mineur_global!U9</f>
        <v>9991.65198929634</v>
      </c>
      <c r="L9" s="14" t="n">
        <f aca="false">VLOOKUP(L$6,fr_md_emissions,5,0)*mineur_global!V9</f>
        <v>507.022605082881</v>
      </c>
      <c r="M9" s="14" t="n">
        <f aca="false">VLOOKUP(M$6,fr_md_emissions,5,0)*mineur_global!W9</f>
        <v>186.0001404516</v>
      </c>
      <c r="N9" s="14" t="n">
        <f aca="false">VLOOKUP(N$6,fr_md_emissions,5,0)*mineur_global!X9</f>
        <v>332.871362467457</v>
      </c>
      <c r="O9" s="14" t="n">
        <f aca="false">VLOOKUP(O$6,fr_md_emissions,5,0)*mineur_global!Y9</f>
        <v>101.404521016576</v>
      </c>
      <c r="P9" s="14" t="n">
        <f aca="false">VLOOKUP(P$6,fr_md_emissions,5,0)*mineur_global!Z9</f>
        <v>76.7882061321175</v>
      </c>
      <c r="Q9" s="35" t="n">
        <f aca="false">SUM(J9:P9)</f>
        <v>38084.4702396576</v>
      </c>
      <c r="R9" s="35" t="n">
        <f aca="false">$I9*$C$20/$B$20</f>
        <v>2349.78543436328</v>
      </c>
      <c r="S9" s="36" t="n">
        <f aca="false">1-(R9/Q9)</f>
        <v>0.938300692655653</v>
      </c>
    </row>
    <row r="10" customFormat="false" ht="17.35" hidden="false" customHeight="true" outlineLevel="0" collapsed="false">
      <c r="A10" s="25" t="s">
        <v>39</v>
      </c>
      <c r="B10" s="14" t="n">
        <f aca="false">VLOOKUP(B$6,fr_md_emissions,2,0)*mineur_global!M10</f>
        <v>0.334946011601743</v>
      </c>
      <c r="C10" s="14" t="n">
        <f aca="false">VLOOKUP(C$6,fr_md_emissions,2,0)*mineur_global!N10</f>
        <v>3.30248598024402</v>
      </c>
      <c r="D10" s="14" t="n">
        <f aca="false">VLOOKUP(D$6,fr_md_emissions,2,0)*mineur_global!O10</f>
        <v>0</v>
      </c>
      <c r="E10" s="14" t="n">
        <f aca="false">VLOOKUP(E$6,fr_md_emissions,2,0)*mineur_global!P10</f>
        <v>0.128668284944572</v>
      </c>
      <c r="F10" s="14" t="n">
        <f aca="false">VLOOKUP(F$6,fr_md_emissions,2,0)*mineur_global!Q10</f>
        <v>0.181361011159968</v>
      </c>
      <c r="G10" s="14" t="n">
        <f aca="false">VLOOKUP(G$6,fr_md_emissions,2,0)*mineur_global!R10</f>
        <v>0.512222315303154</v>
      </c>
      <c r="H10" s="14" t="n">
        <f aca="false">VLOOKUP(H$6,fr_md_emissions,2,0)*mineur_global!S10</f>
        <v>0.0636533578958597</v>
      </c>
      <c r="I10" s="35" t="n">
        <f aca="false">SUM(B10:H10)</f>
        <v>4.52333696114931</v>
      </c>
      <c r="J10" s="14" t="n">
        <f aca="false">VLOOKUP(J$6,fr_md_emissions,5,0)*mineur_global!T10</f>
        <v>22347.5234428639</v>
      </c>
      <c r="K10" s="14" t="n">
        <f aca="false">VLOOKUP(K$6,fr_md_emissions,5,0)*mineur_global!U10</f>
        <v>8304.17298665962</v>
      </c>
      <c r="L10" s="14" t="n">
        <f aca="false">VLOOKUP(L$6,fr_md_emissions,5,0)*mineur_global!V10</f>
        <v>421.392120668883</v>
      </c>
      <c r="M10" s="14" t="n">
        <f aca="false">VLOOKUP(M$6,fr_md_emissions,5,0)*mineur_global!W10</f>
        <v>154.586783397552</v>
      </c>
      <c r="N10" s="14" t="n">
        <f aca="false">VLOOKUP(N$6,fr_md_emissions,5,0)*mineur_global!X10</f>
        <v>276.653087917397</v>
      </c>
      <c r="O10" s="14" t="n">
        <f aca="false">VLOOKUP(O$6,fr_md_emissions,5,0)*mineur_global!Y10</f>
        <v>84.2784241337767</v>
      </c>
      <c r="P10" s="14" t="n">
        <f aca="false">VLOOKUP(P$6,fr_md_emissions,5,0)*mineur_global!Z10</f>
        <v>63.8195313186932</v>
      </c>
      <c r="Q10" s="35" t="n">
        <f aca="false">SUM(J10:P10)</f>
        <v>31652.4263769598</v>
      </c>
      <c r="R10" s="35" t="n">
        <f aca="false">$I10*$C$20/$B$20</f>
        <v>2153.96998149967</v>
      </c>
      <c r="S10" s="36" t="n">
        <f aca="false">1-(R10/Q10)</f>
        <v>0.931949293370205</v>
      </c>
    </row>
    <row r="11" customFormat="false" ht="14.15" hidden="false" customHeight="false" outlineLevel="0" collapsed="false">
      <c r="A11" s="25" t="s">
        <v>40</v>
      </c>
      <c r="B11" s="14" t="n">
        <f aca="false">VLOOKUP(B$6,fr_md_emissions,2,0)*mineur_global!M11</f>
        <v>0.327384015554142</v>
      </c>
      <c r="C11" s="14" t="n">
        <f aca="false">VLOOKUP(C$6,fr_md_emissions,2,0)*mineur_global!N11</f>
        <v>3.22792654360395</v>
      </c>
      <c r="D11" s="14" t="n">
        <f aca="false">VLOOKUP(D$6,fr_md_emissions,2,0)*mineur_global!O11</f>
        <v>0</v>
      </c>
      <c r="E11" s="14" t="n">
        <f aca="false">VLOOKUP(E$6,fr_md_emissions,2,0)*mineur_global!P11</f>
        <v>0.125763371828725</v>
      </c>
      <c r="F11" s="14" t="n">
        <f aca="false">VLOOKUP(F$6,fr_md_emissions,2,0)*mineur_global!Q11</f>
        <v>0.177266466958584</v>
      </c>
      <c r="G11" s="14" t="n">
        <f aca="false">VLOOKUP(G$6,fr_md_emissions,2,0)*mineur_global!R11</f>
        <v>0.500657994518164</v>
      </c>
      <c r="H11" s="14" t="n">
        <f aca="false">VLOOKUP(H$6,fr_md_emissions,2,0)*mineur_global!S11</f>
        <v>0.0622162712486022</v>
      </c>
      <c r="I11" s="35" t="n">
        <f aca="false">SUM(B11:H11)</f>
        <v>4.42121466371217</v>
      </c>
      <c r="J11" s="14" t="n">
        <f aca="false">VLOOKUP(J$6,fr_md_emissions,5,0)*mineur_global!T11</f>
        <v>21698.3331928163</v>
      </c>
      <c r="K11" s="14" t="n">
        <f aca="false">VLOOKUP(K$6,fr_md_emissions,5,0)*mineur_global!U11</f>
        <v>8062.93873305511</v>
      </c>
      <c r="L11" s="14" t="n">
        <f aca="false">VLOOKUP(L$6,fr_md_emissions,5,0)*mineur_global!V11</f>
        <v>409.15077961449</v>
      </c>
      <c r="M11" s="14" t="n">
        <f aca="false">VLOOKUP(M$6,fr_md_emissions,5,0)*mineur_global!W11</f>
        <v>150.096074043359</v>
      </c>
      <c r="N11" s="14" t="n">
        <f aca="false">VLOOKUP(N$6,fr_md_emissions,5,0)*mineur_global!X11</f>
        <v>268.616381399078</v>
      </c>
      <c r="O11" s="14" t="n">
        <f aca="false">VLOOKUP(O$6,fr_md_emissions,5,0)*mineur_global!Y11</f>
        <v>81.830155922898</v>
      </c>
      <c r="P11" s="14" t="n">
        <f aca="false">VLOOKUP(P$6,fr_md_emissions,5,0)*mineur_global!Z11</f>
        <v>61.9655890865423</v>
      </c>
      <c r="Q11" s="35" t="n">
        <f aca="false">SUM(J11:P11)</f>
        <v>30732.9309059377</v>
      </c>
      <c r="R11" s="35" t="n">
        <f aca="false">$I11*$C$20/$B$20</f>
        <v>2105.34031605341</v>
      </c>
      <c r="S11" s="36" t="n">
        <f aca="false">1-(R11/Q11)</f>
        <v>0.931495621992673</v>
      </c>
    </row>
    <row r="12" customFormat="false" ht="14.15" hidden="false" customHeight="false" outlineLevel="0" collapsed="false">
      <c r="A12" s="25" t="s">
        <v>41</v>
      </c>
      <c r="B12" s="14" t="n">
        <f aca="false">VLOOKUP(B$6,fr_md_emissions,2,0)*mineur_global!M12</f>
        <v>0.266434327410478</v>
      </c>
      <c r="C12" s="14" t="n">
        <f aca="false">VLOOKUP(C$6,fr_md_emissions,2,0)*mineur_global!N12</f>
        <v>2.62697748428501</v>
      </c>
      <c r="D12" s="14" t="n">
        <f aca="false">VLOOKUP(D$6,fr_md_emissions,2,0)*mineur_global!O12</f>
        <v>0</v>
      </c>
      <c r="E12" s="14" t="n">
        <f aca="false">VLOOKUP(E$6,fr_md_emissions,2,0)*mineur_global!P12</f>
        <v>0.102349772115001</v>
      </c>
      <c r="F12" s="14" t="n">
        <f aca="false">VLOOKUP(F$6,fr_md_emissions,2,0)*mineur_global!Q12</f>
        <v>0.144264440695429</v>
      </c>
      <c r="G12" s="14" t="n">
        <f aca="false">VLOOKUP(G$6,fr_md_emissions,2,0)*mineur_global!R12</f>
        <v>0.407449568991145</v>
      </c>
      <c r="H12" s="14" t="n">
        <f aca="false">VLOOKUP(H$6,fr_md_emissions,2,0)*mineur_global!S12</f>
        <v>0.0506333528717066</v>
      </c>
      <c r="I12" s="35" t="n">
        <f aca="false">SUM(B12:H12)</f>
        <v>3.59810894636877</v>
      </c>
      <c r="J12" s="14" t="n">
        <f aca="false">VLOOKUP(J$6,fr_md_emissions,5,0)*mineur_global!T12</f>
        <v>13332.3293267086</v>
      </c>
      <c r="K12" s="14" t="n">
        <f aca="false">VLOOKUP(K$6,fr_md_emissions,5,0)*mineur_global!U12</f>
        <v>4954.19411135944</v>
      </c>
      <c r="L12" s="14" t="n">
        <f aca="false">VLOOKUP(L$6,fr_md_emissions,5,0)*mineur_global!V12</f>
        <v>251.398708353595</v>
      </c>
      <c r="M12" s="14" t="n">
        <f aca="false">VLOOKUP(M$6,fr_md_emissions,5,0)*mineur_global!W12</f>
        <v>92.2250696405852</v>
      </c>
      <c r="N12" s="14" t="n">
        <f aca="false">VLOOKUP(N$6,fr_md_emissions,5,0)*mineur_global!X12</f>
        <v>165.048717223447</v>
      </c>
      <c r="O12" s="14" t="n">
        <f aca="false">VLOOKUP(O$6,fr_md_emissions,5,0)*mineur_global!Y12</f>
        <v>50.2797416707191</v>
      </c>
      <c r="P12" s="14" t="n">
        <f aca="false">VLOOKUP(P$6,fr_md_emissions,5,0)*mineur_global!Z12</f>
        <v>38.0741522071749</v>
      </c>
      <c r="Q12" s="35" t="n">
        <f aca="false">SUM(J12:P12)</f>
        <v>18883.5498271636</v>
      </c>
      <c r="R12" s="35" t="n">
        <f aca="false">$I12*$C$20/$B$20</f>
        <v>1713.38521255656</v>
      </c>
      <c r="S12" s="36" t="n">
        <f aca="false">1-(R12/Q12)</f>
        <v>0.909265724493607</v>
      </c>
    </row>
    <row r="13" customFormat="false" ht="14.15" hidden="false" customHeight="false" outlineLevel="0" collapsed="false">
      <c r="A13" s="25" t="s">
        <v>42</v>
      </c>
      <c r="B13" s="14" t="n">
        <f aca="false">VLOOKUP(B$6,fr_md_emissions,2,0)*mineur_global!M13</f>
        <v>0.243597099346722</v>
      </c>
      <c r="C13" s="14" t="n">
        <f aca="false">VLOOKUP(C$6,fr_md_emissions,2,0)*mineur_global!N13</f>
        <v>2.40180798563201</v>
      </c>
      <c r="D13" s="14" t="n">
        <f aca="false">VLOOKUP(D$6,fr_md_emissions,2,0)*mineur_global!O13</f>
        <v>0</v>
      </c>
      <c r="E13" s="14" t="n">
        <f aca="false">VLOOKUP(E$6,fr_md_emissions,2,0)*mineur_global!P13</f>
        <v>0.0935769345051433</v>
      </c>
      <c r="F13" s="14" t="n">
        <f aca="false">VLOOKUP(F$6,fr_md_emissions,2,0)*mineur_global!Q13</f>
        <v>0.13189891720725</v>
      </c>
      <c r="G13" s="14" t="n">
        <f aca="false">VLOOKUP(G$6,fr_md_emissions,2,0)*mineur_global!R13</f>
        <v>0.372525320220475</v>
      </c>
      <c r="H13" s="14" t="n">
        <f aca="false">VLOOKUP(H$6,fr_md_emissions,2,0)*mineur_global!S13</f>
        <v>0.0462933511969889</v>
      </c>
      <c r="I13" s="35" t="n">
        <f aca="false">SUM(B13:H13)</f>
        <v>3.28969960810859</v>
      </c>
      <c r="J13" s="14" t="n">
        <f aca="false">VLOOKUP(J$6,fr_md_emissions,5,0)*mineur_global!T13</f>
        <v>7277.3482039177</v>
      </c>
      <c r="K13" s="14" t="n">
        <f aca="false">VLOOKUP(K$6,fr_md_emissions,5,0)*mineur_global!U13</f>
        <v>2704.20829959065</v>
      </c>
      <c r="L13" s="14" t="n">
        <f aca="false">VLOOKUP(L$6,fr_md_emissions,5,0)*mineur_global!V13</f>
        <v>137.224028440342</v>
      </c>
      <c r="M13" s="14" t="n">
        <f aca="false">VLOOKUP(M$6,fr_md_emissions,5,0)*mineur_global!W13</f>
        <v>50.3403365202341</v>
      </c>
      <c r="N13" s="14" t="n">
        <f aca="false">VLOOKUP(N$6,fr_md_emissions,5,0)*mineur_global!X13</f>
        <v>90.0905578021375</v>
      </c>
      <c r="O13" s="14" t="n">
        <f aca="false">VLOOKUP(O$6,fr_md_emissions,5,0)*mineur_global!Y13</f>
        <v>27.4448056880684</v>
      </c>
      <c r="P13" s="14" t="n">
        <f aca="false">VLOOKUP(P$6,fr_md_emissions,5,0)*mineur_global!Z13</f>
        <v>20.782479669588</v>
      </c>
      <c r="Q13" s="35" t="n">
        <f aca="false">SUM(J13:P13)</f>
        <v>10307.4387116287</v>
      </c>
      <c r="R13" s="35" t="n">
        <f aca="false">$I13*$C$20/$B$20</f>
        <v>1566.52362290885</v>
      </c>
      <c r="S13" s="36" t="n">
        <f aca="false">1-(R13/Q13)</f>
        <v>0.848020088526792</v>
      </c>
    </row>
    <row r="14" customFormat="false" ht="14.15" hidden="false" customHeight="false" outlineLevel="0" collapsed="false">
      <c r="A14" s="25" t="s">
        <v>43</v>
      </c>
      <c r="B14" s="14" t="n">
        <f aca="false">VLOOKUP(B$6,fr_md_emissions,2,0)*mineur_global!M14</f>
        <v>0.281659146119648</v>
      </c>
      <c r="C14" s="14" t="n">
        <f aca="false">VLOOKUP(C$6,fr_md_emissions,2,0)*mineur_global!N14</f>
        <v>2.77709048338701</v>
      </c>
      <c r="D14" s="14" t="n">
        <f aca="false">VLOOKUP(D$6,fr_md_emissions,2,0)*mineur_global!O14</f>
        <v>0</v>
      </c>
      <c r="E14" s="14" t="n">
        <f aca="false">VLOOKUP(E$6,fr_md_emissions,2,0)*mineur_global!P14</f>
        <v>0.108198330521572</v>
      </c>
      <c r="F14" s="14" t="n">
        <f aca="false">VLOOKUP(F$6,fr_md_emissions,2,0)*mineur_global!Q14</f>
        <v>0.152508123020882</v>
      </c>
      <c r="G14" s="14" t="n">
        <f aca="false">VLOOKUP(G$6,fr_md_emissions,2,0)*mineur_global!R14</f>
        <v>0.430732401504925</v>
      </c>
      <c r="H14" s="14" t="n">
        <f aca="false">VLOOKUP(H$6,fr_md_emissions,2,0)*mineur_global!S14</f>
        <v>0.0535266873215184</v>
      </c>
      <c r="I14" s="35" t="n">
        <f aca="false">SUM(B14:H14)</f>
        <v>3.80371517187556</v>
      </c>
      <c r="J14" s="14" t="n">
        <f aca="false">VLOOKUP(J$6,fr_md_emissions,5,0)*mineur_global!T14</f>
        <v>15155.0287277486</v>
      </c>
      <c r="K14" s="14" t="n">
        <f aca="false">VLOOKUP(K$6,fr_md_emissions,5,0)*mineur_global!U14</f>
        <v>5631.49561045466</v>
      </c>
      <c r="L14" s="14" t="n">
        <f aca="false">VLOOKUP(L$6,fr_md_emissions,5,0)*mineur_global!V14</f>
        <v>285.76811702252</v>
      </c>
      <c r="M14" s="14" t="n">
        <f aca="false">VLOOKUP(M$6,fr_md_emissions,5,0)*mineur_global!W14</f>
        <v>104.833412494674</v>
      </c>
      <c r="N14" s="14" t="n">
        <f aca="false">VLOOKUP(N$6,fr_md_emissions,5,0)*mineur_global!X14</f>
        <v>187.612981175654</v>
      </c>
      <c r="O14" s="14" t="n">
        <f aca="false">VLOOKUP(O$6,fr_md_emissions,5,0)*mineur_global!Y14</f>
        <v>57.153623404504</v>
      </c>
      <c r="P14" s="14" t="n">
        <f aca="false">VLOOKUP(P$6,fr_md_emissions,5,0)*mineur_global!Z14</f>
        <v>43.279374244715</v>
      </c>
      <c r="Q14" s="35" t="n">
        <f aca="false">SUM(J14:P14)</f>
        <v>21465.1718465454</v>
      </c>
      <c r="R14" s="35" t="n">
        <f aca="false">$I14*$C$20/$B$20</f>
        <v>1811.29293898836</v>
      </c>
      <c r="S14" s="36" t="n">
        <f aca="false">1-(R14/Q14)</f>
        <v>0.915617123779054</v>
      </c>
    </row>
    <row r="15" customFormat="false" ht="14.15" hidden="false" customHeight="false" outlineLevel="0" collapsed="false">
      <c r="A15" s="25" t="s">
        <v>44</v>
      </c>
      <c r="B15" s="14" t="n">
        <f aca="false">VLOOKUP(B$6,fr_md_emissions,2,0)*mineur_global!M15</f>
        <v>0.289271555474233</v>
      </c>
      <c r="C15" s="14" t="n">
        <f aca="false">VLOOKUP(C$6,fr_md_emissions,2,0)*mineur_global!N15</f>
        <v>2.85214698293801</v>
      </c>
      <c r="D15" s="14" t="n">
        <f aca="false">VLOOKUP(D$6,fr_md_emissions,2,0)*mineur_global!O15</f>
        <v>0</v>
      </c>
      <c r="E15" s="14" t="n">
        <f aca="false">VLOOKUP(E$6,fr_md_emissions,2,0)*mineur_global!P15</f>
        <v>0.111122609724858</v>
      </c>
      <c r="F15" s="14" t="n">
        <f aca="false">VLOOKUP(F$6,fr_md_emissions,2,0)*mineur_global!Q15</f>
        <v>0.156629964183609</v>
      </c>
      <c r="G15" s="14" t="n">
        <f aca="false">VLOOKUP(G$6,fr_md_emissions,2,0)*mineur_global!R15</f>
        <v>0.442373817761814</v>
      </c>
      <c r="H15" s="14" t="n">
        <f aca="false">VLOOKUP(H$6,fr_md_emissions,2,0)*mineur_global!S15</f>
        <v>0.0549733545464243</v>
      </c>
      <c r="I15" s="35" t="n">
        <f aca="false">SUM(B15:H15)</f>
        <v>3.90651828462895</v>
      </c>
      <c r="J15" s="14" t="n">
        <f aca="false">VLOOKUP(J$6,fr_md_emissions,5,0)*mineur_global!T15</f>
        <v>15236.9478019527</v>
      </c>
      <c r="K15" s="14" t="n">
        <f aca="false">VLOOKUP(K$6,fr_md_emissions,5,0)*mineur_global!U15</f>
        <v>5661.93612726793</v>
      </c>
      <c r="L15" s="14" t="n">
        <f aca="false">VLOOKUP(L$6,fr_md_emissions,5,0)*mineur_global!V15</f>
        <v>287.312809546966</v>
      </c>
      <c r="M15" s="14" t="n">
        <f aca="false">VLOOKUP(M$6,fr_md_emissions,5,0)*mineur_global!W15</f>
        <v>105.40007958924</v>
      </c>
      <c r="N15" s="14" t="n">
        <f aca="false">VLOOKUP(N$6,fr_md_emissions,5,0)*mineur_global!X15</f>
        <v>188.627105398225</v>
      </c>
      <c r="O15" s="14" t="n">
        <f aca="false">VLOOKUP(O$6,fr_md_emissions,5,0)*mineur_global!Y15</f>
        <v>57.4625619093932</v>
      </c>
      <c r="P15" s="14" t="n">
        <f aca="false">VLOOKUP(P$6,fr_md_emissions,5,0)*mineur_global!Z15</f>
        <v>43.5133168081999</v>
      </c>
      <c r="Q15" s="35" t="n">
        <f aca="false">SUM(J15:P15)</f>
        <v>21581.1998024726</v>
      </c>
      <c r="R15" s="35" t="n">
        <f aca="false">$I15*$C$20/$B$20</f>
        <v>1860.24680220426</v>
      </c>
      <c r="S15" s="36" t="n">
        <f aca="false">1-(R15/Q15)</f>
        <v>0.913802438268927</v>
      </c>
    </row>
    <row r="18" customFormat="false" ht="12.8" hidden="false" customHeight="false" outlineLevel="0" collapsed="false">
      <c r="B18" s="0" t="s">
        <v>29</v>
      </c>
      <c r="C18" s="0" t="s">
        <v>30</v>
      </c>
    </row>
    <row r="19" customFormat="false" ht="12.8" hidden="false" customHeight="false" outlineLevel="0" collapsed="false">
      <c r="A19" s="0" t="s">
        <v>49</v>
      </c>
      <c r="B19" s="14" t="n">
        <v>29580423.6</v>
      </c>
      <c r="C19" s="14" t="n">
        <v>11821072790</v>
      </c>
    </row>
    <row r="20" customFormat="false" ht="12.8" hidden="false" customHeight="false" outlineLevel="0" collapsed="false">
      <c r="A20" s="0" t="s">
        <v>50</v>
      </c>
      <c r="B20" s="0" t="n">
        <f aca="false">0.0021*C20</f>
        <v>353222352.6447</v>
      </c>
      <c r="C20" s="0" t="n">
        <v>168201120307</v>
      </c>
    </row>
    <row r="26" s="41" customFormat="true" ht="14.15" hidden="false" customHeight="false" outlineLevel="0" collapsed="false">
      <c r="A26" s="37"/>
      <c r="B26" s="38"/>
      <c r="C26" s="38"/>
      <c r="D26" s="38"/>
      <c r="E26" s="38"/>
      <c r="F26" s="38"/>
      <c r="G26" s="38"/>
      <c r="H26" s="38"/>
      <c r="I26" s="39"/>
      <c r="J26" s="38"/>
      <c r="K26" s="38"/>
      <c r="L26" s="38"/>
      <c r="M26" s="38"/>
      <c r="N26" s="38"/>
      <c r="O26" s="38"/>
      <c r="P26" s="38"/>
      <c r="Q26" s="39"/>
      <c r="R26" s="39"/>
      <c r="S26" s="40"/>
    </row>
    <row r="27" s="41" customFormat="true" ht="14.15" hidden="false" customHeight="false" outlineLevel="0" collapsed="false">
      <c r="A27" s="37"/>
      <c r="B27" s="38"/>
      <c r="C27" s="38"/>
      <c r="D27" s="38"/>
      <c r="E27" s="38"/>
      <c r="F27" s="38"/>
      <c r="G27" s="38"/>
      <c r="H27" s="38"/>
      <c r="I27" s="39"/>
      <c r="J27" s="38"/>
      <c r="K27" s="38"/>
      <c r="L27" s="38"/>
      <c r="M27" s="38"/>
      <c r="N27" s="38"/>
      <c r="O27" s="38"/>
      <c r="P27" s="38"/>
      <c r="Q27" s="39"/>
      <c r="R27" s="39"/>
      <c r="S27" s="40"/>
    </row>
    <row r="28" s="41" customFormat="true" ht="14.15" hidden="false" customHeight="false" outlineLevel="0" collapsed="false">
      <c r="A28" s="37"/>
      <c r="B28" s="38"/>
      <c r="C28" s="38"/>
      <c r="D28" s="38"/>
      <c r="E28" s="38"/>
      <c r="F28" s="38"/>
      <c r="G28" s="38"/>
      <c r="H28" s="38"/>
      <c r="I28" s="39"/>
      <c r="J28" s="38"/>
      <c r="K28" s="38"/>
      <c r="L28" s="38"/>
      <c r="M28" s="38"/>
      <c r="N28" s="38"/>
      <c r="O28" s="38"/>
      <c r="P28" s="38"/>
      <c r="Q28" s="39"/>
      <c r="R28" s="39"/>
      <c r="S28" s="40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2023-11-16T14:26:43Z</dcterms:created>
  <dc:creator/>
  <dc:description/>
  <dc:language>en-US</dc:language>
  <cp:lastModifiedBy/>
  <dcterms:modified xsi:type="dcterms:W3CDTF">2023-11-19T17:49:41Z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