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PLR et PLF 2007 -2015" sheetId="1" state="visible" r:id="rId2"/>
    <sheet name="prg 150" sheetId="2" state="visible" r:id="rId3"/>
    <sheet name="Feuil3" sheetId="3" state="visible" r:id="rId4"/>
  </sheets>
  <calcPr iterateCount="100" refMode="A1" iterate="false" iterateDelta="252"/>
</workbook>
</file>

<file path=xl/sharedStrings.xml><?xml version="1.0" encoding="utf-8"?>
<sst xmlns="http://schemas.openxmlformats.org/spreadsheetml/2006/main" count="186" uniqueCount="99">
  <si>
    <t>en Millions d'euros</t>
  </si>
  <si>
    <t>Titre 2 et 3</t>
  </si>
  <si>
    <t>Titre 6</t>
  </si>
  <si>
    <t>Titre 2-3-6</t>
  </si>
  <si>
    <t>année</t>
  </si>
  <si>
    <t>titre 2 et 3</t>
  </si>
  <si>
    <t>titre 6</t>
  </si>
  <si>
    <t>titre 7</t>
  </si>
  <si>
    <t>total</t>
  </si>
  <si>
    <t>PIA</t>
  </si>
  <si>
    <t>plf2015</t>
  </si>
  <si>
    <t>plf 2014</t>
  </si>
  <si>
    <t>plr</t>
  </si>
  <si>
    <t>plf</t>
  </si>
  <si>
    <t>evolution en volume</t>
  </si>
  <si>
    <t>diff  N- N-1</t>
  </si>
  <si>
    <t>2008-2015</t>
  </si>
  <si>
    <t>% evolution</t>
  </si>
  <si>
    <t>inflation</t>
  </si>
  <si>
    <t>croissance</t>
  </si>
  <si>
    <t>pensions</t>
  </si>
  <si>
    <t>taux cas pension</t>
  </si>
  <si>
    <t>retenue pc</t>
  </si>
  <si>
    <t>Date d'effet</t>
  </si>
  <si>
    <t>Revalorisation</t>
  </si>
  <si>
    <t>1,30 %</t>
  </si>
  <si>
    <t>2,10 %</t>
  </si>
  <si>
    <t>0,90 %</t>
  </si>
  <si>
    <t>1,00 %</t>
  </si>
  <si>
    <t>0,80 %</t>
  </si>
  <si>
    <t>1,10 %</t>
  </si>
  <si>
    <t>1,80 %</t>
  </si>
  <si>
    <t>2,00 %</t>
  </si>
  <si>
    <t>1,50 %</t>
  </si>
  <si>
    <t>programme 150</t>
  </si>
  <si>
    <t>plf2012</t>
  </si>
  <si>
    <t>flux de sortie vers les RCE</t>
  </si>
  <si>
    <t>ETPT (hors RCE)</t>
  </si>
  <si>
    <t>ES 1er degre</t>
  </si>
  <si>
    <t>ES 2nd degré</t>
  </si>
  <si>
    <t> Enseignants stagiaires</t>
  </si>
  <si>
    <t>Enseignants chercheurs et assimilés</t>
  </si>
  <si>
    <t> Personnels d’accompagnement et de suivi des élèves et étudiants</t>
  </si>
  <si>
    <t>Personnels d’encadrement</t>
  </si>
  <si>
    <t>Personnels administratif, technique et de service</t>
  </si>
  <si>
    <t> Personnels des bibliothèques et des musées</t>
  </si>
  <si>
    <t>total personnel-enseignants-chercheurs</t>
  </si>
  <si>
    <t>diff transfert</t>
  </si>
  <si>
    <t>plafond rce</t>
  </si>
  <si>
    <t>emplois rce + ministere (sous plafond)</t>
  </si>
  <si>
    <t>hors plafond rce</t>
  </si>
  <si>
    <t>Taux de sortie</t>
  </si>
  <si>
    <t>sortie (hors RCE)</t>
  </si>
  <si>
    <t>Entrée ( hors RCE)</t>
  </si>
  <si>
    <t>taux d'entrée</t>
  </si>
  <si>
    <t>2012*</t>
  </si>
  <si>
    <t>depenses  ministère hors RCE(€)</t>
  </si>
  <si>
    <t>MS</t>
  </si>
  <si>
    <t>MS totale (RCE MS+ MS ministère)</t>
  </si>
  <si>
    <t>salaire moyen annuel total</t>
  </si>
  <si>
    <t>salaire moyen annuel RCE</t>
  </si>
  <si>
    <t> point d'indice</t>
  </si>
  <si>
    <t>tx cas pension ati</t>
  </si>
  <si>
    <t>Salaire moyen annuel ministère hors RCE(€)</t>
  </si>
  <si>
    <t>*2012</t>
  </si>
  <si>
    <t>salaire annuel moyen</t>
  </si>
  <si>
    <t>Rémunération activité  (Millions €)</t>
  </si>
  <si>
    <t>indemnité (Millions €)</t>
  </si>
  <si>
    <t>cas +ati (Millions €)</t>
  </si>
  <si>
    <t>autres cotis (Millions €)</t>
  </si>
  <si>
    <t> dont prest sociales (Millions €)</t>
  </si>
  <si>
    <t>Somme des indices à partir du RA</t>
  </si>
  <si>
    <t>Rémunération Activité calculé par le CAS (Millions €)</t>
  </si>
  <si>
    <t>somme des indices à partir du Cas</t>
  </si>
  <si>
    <t>RCE</t>
  </si>
  <si>
    <t>RCE Masse Salariale</t>
  </si>
  <si>
    <t>hors CD PES</t>
  </si>
  <si>
    <t>CAS pension +ATI</t>
  </si>
  <si>
    <t>RA calculé à partir du Cas</t>
  </si>
  <si>
    <t>nbre indice RCE à partir du RA</t>
  </si>
  <si>
    <t>somme totale des indices par RA et RA RCE</t>
  </si>
  <si>
    <t>RA</t>
  </si>
  <si>
    <t>Taux MS/RA</t>
  </si>
  <si>
    <t>RA totale (millions €) titu +non titulaire</t>
  </si>
  <si>
    <t>RA totale à partir CAS ATI (millions €) titulaire</t>
  </si>
  <si>
    <t>nbre point d'indice titulaire</t>
  </si>
  <si>
    <t>nbre point d'indice non  titulaire</t>
  </si>
  <si>
    <t>nbre point d'indice moyen titulaire</t>
  </si>
  <si>
    <t>nbre point d'indice moyen titualaire</t>
  </si>
  <si>
    <t>CAS pension RCE+ ministère (Millions d'euros)</t>
  </si>
  <si>
    <t>Rémunérations d'activités RCE +ministère (Millions d'euros)</t>
  </si>
  <si>
    <t>MS totale (RCE MS+ MS ministère) hors prestation socilae</t>
  </si>
  <si>
    <t>taux</t>
  </si>
  <si>
    <t>ati</t>
  </si>
  <si>
    <t>CSA</t>
  </si>
  <si>
    <t>alloca fami</t>
  </si>
  <si>
    <t>fnal</t>
  </si>
  <si>
    <t>maladie</t>
  </si>
  <si>
    <t>transport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</si>
</sst>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* #,##0.00&quot;    &quot;;\-* #,##0.00&quot;    &quot;;* \-#&quot;    &quot;;@\ "/>
    <numFmt numFmtId="166" formatCode="0%"/>
    <numFmt numFmtId="167" formatCode="0.0%"/>
    <numFmt numFmtId="168" formatCode="DD/MM/YYYY"/>
    <numFmt numFmtId="169" formatCode="#,##0&quot; €&quot;"/>
    <numFmt numFmtId="170" formatCode="* #,##0&quot;    &quot;;\-* #,##0&quot;    &quot;;* \-#&quot;    &quot;;@\ "/>
    <numFmt numFmtId="171" formatCode="* #,##0&quot; € &quot;;\-* #,##0&quot; € &quot;;* \-#&quot; € &quot;;@\ "/>
    <numFmt numFmtId="172" formatCode="* #,##0.0000&quot;    &quot;;\-* #,##0.0000&quot;    &quot;;* \-#&quot;    &quot;;@\ "/>
    <numFmt numFmtId="173" formatCode="0.000"/>
    <numFmt numFmtId="174" formatCode="0.00"/>
    <numFmt numFmtId="175" formatCode="#,##0.0000&quot;   &quot;"/>
    <numFmt numFmtId="176" formatCode="#,##0.0000"/>
    <numFmt numFmtId="177" formatCode="0.00000000000000"/>
    <numFmt numFmtId="178" formatCode="0.00%"/>
    <numFmt numFmtId="179" formatCode="#,##0.00"/>
    <numFmt numFmtId="180" formatCode="#,##0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0"/>
      <color rgb="FF003366"/>
      <name val="Arial"/>
      <family val="2"/>
      <charset val="1"/>
    </font>
    <font>
      <b val="true"/>
      <u val="single"/>
      <sz val="11"/>
      <color rgb="FF333333"/>
      <name val="Arial"/>
      <family val="2"/>
      <charset val="1"/>
    </font>
    <font>
      <sz val="10.8"/>
      <color rgb="FF333333"/>
      <name val="Arial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3"/>
      <color rgb="FFFFFFFF"/>
      <name val="Calibri"/>
      <family val="2"/>
      <charset val="1"/>
    </font>
    <font>
      <sz val="9"/>
      <name val="Verdana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00CC"/>
        <bgColor rgb="FFFF00FF"/>
      </patternFill>
    </fill>
    <fill>
      <patternFill patternType="solid">
        <fgColor rgb="FFCCFFCC"/>
        <bgColor rgb="FFCCFFFF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>
        <color rgb="FF969696"/>
      </top>
      <bottom/>
      <diagonal/>
    </border>
    <border diagonalUp="false" diagonalDown="false">
      <left style="thin"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 style="thin"/>
      <top/>
      <bottom style="thin">
        <color rgb="FFC0C0C0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8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4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1" shrinkToFit="false"/>
      <protection locked="true" hidden="false"/>
    </xf>
    <xf numFmtId="164" fontId="6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4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8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9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4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1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7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0" fillId="7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71" fontId="11" fillId="7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5" fillId="7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5" fillId="7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8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5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5" fillId="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5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5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7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4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4" fillId="4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4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4" borderId="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4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4" borderId="7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4" borderId="8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2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5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5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5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7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5" fillId="5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5" fillId="6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6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9" fillId="6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4" fillId="6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7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8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1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1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9" fontId="17" fillId="1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80" fontId="17" fillId="1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8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3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CC00CC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712440</xdr:colOff>
      <xdr:row>39</xdr:row>
      <xdr:rowOff>57240</xdr:rowOff>
    </xdr:from>
    <xdr:to>
      <xdr:col>10</xdr:col>
      <xdr:colOff>612000</xdr:colOff>
      <xdr:row>61</xdr:row>
      <xdr:rowOff>178200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7356960" y="7567200"/>
          <a:ext cx="3322080" cy="4502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14</xdr:col>
      <xdr:colOff>400320</xdr:colOff>
      <xdr:row>76</xdr:row>
      <xdr:rowOff>139320</xdr:rowOff>
    </xdr:from>
    <xdr:to>
      <xdr:col>17</xdr:col>
      <xdr:colOff>407520</xdr:colOff>
      <xdr:row>100</xdr:row>
      <xdr:rowOff>30960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23209200" y="15189120"/>
          <a:ext cx="3320280" cy="4646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56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65" zoomScaleNormal="65" zoomScalePageLayoutView="100" workbookViewId="0">
      <selection pane="topLeft" activeCell="A5" activeCellId="0" sqref="A5"/>
    </sheetView>
  </sheetViews>
  <sheetFormatPr defaultRowHeight="15"/>
  <cols>
    <col collapsed="false" hidden="false" max="1" min="1" style="1" width="20.6887755102041"/>
    <col collapsed="false" hidden="false" max="2" min="2" style="1" width="11.6989795918367"/>
    <col collapsed="false" hidden="false" max="3" min="3" style="1" width="12.4081632653061"/>
    <col collapsed="false" hidden="false" max="4" min="4" style="1" width="11.9897959183673"/>
    <col collapsed="false" hidden="false" max="5" min="5" style="1" width="13.2755102040816"/>
    <col collapsed="false" hidden="false" max="6" min="6" style="1" width="12.4081632653061"/>
    <col collapsed="false" hidden="false" max="8" min="7" style="1" width="11.6989795918367"/>
    <col collapsed="false" hidden="false" max="10" min="9" style="1" width="18.4030612244898"/>
    <col collapsed="false" hidden="false" max="11" min="11" style="1" width="15.5510204081633"/>
    <col collapsed="false" hidden="false" max="12" min="12" style="1" width="19.4030612244898"/>
    <col collapsed="false" hidden="false" max="13" min="13" style="1" width="16.5510204081633"/>
    <col collapsed="false" hidden="false" max="257" min="14" style="1" width="11.6989795918367"/>
    <col collapsed="false" hidden="false" max="1025" min="258" style="0" width="11.6989795918367"/>
  </cols>
  <sheetData>
    <row r="1" customFormat="false" ht="15" hidden="false" customHeight="true" outlineLevel="0" collapsed="false">
      <c r="A1" s="2" t="s">
        <v>0</v>
      </c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F1" s="0"/>
      <c r="AG1" s="0"/>
      <c r="AH1" s="0"/>
      <c r="AI1" s="0"/>
      <c r="AJ1" s="0"/>
      <c r="AK1" s="0"/>
      <c r="AL1" s="0"/>
      <c r="AM1" s="0"/>
      <c r="AN1" s="0"/>
      <c r="AO1" s="0"/>
    </row>
    <row r="2" customFormat="false" ht="15.7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1" t="s">
        <v>2</v>
      </c>
      <c r="V2" s="0"/>
      <c r="W2" s="0"/>
      <c r="X2" s="0"/>
      <c r="Y2" s="0"/>
      <c r="Z2" s="0"/>
      <c r="AA2" s="0"/>
      <c r="AB2" s="0"/>
      <c r="AC2" s="0"/>
      <c r="AD2" s="0"/>
      <c r="AF2" s="1" t="s">
        <v>3</v>
      </c>
      <c r="AG2" s="0"/>
      <c r="AH2" s="0"/>
      <c r="AI2" s="0"/>
      <c r="AJ2" s="0"/>
      <c r="AK2" s="0"/>
      <c r="AL2" s="0"/>
      <c r="AM2" s="0"/>
      <c r="AN2" s="0"/>
      <c r="AO2" s="0"/>
    </row>
    <row r="3" customFormat="false" ht="15.75" hidden="false" customHeight="true" outlineLevel="0" collapsed="false">
      <c r="A3" s="0"/>
      <c r="B3" s="1" t="s">
        <v>4</v>
      </c>
      <c r="C3" s="1" t="s">
        <v>5</v>
      </c>
      <c r="D3" s="1" t="s">
        <v>6</v>
      </c>
      <c r="E3" s="1" t="s">
        <v>7</v>
      </c>
      <c r="F3" s="2" t="s">
        <v>8</v>
      </c>
      <c r="G3" s="0"/>
      <c r="H3" s="0"/>
      <c r="I3" s="0"/>
      <c r="J3" s="3" t="n">
        <v>150</v>
      </c>
      <c r="K3" s="4" t="n">
        <v>231</v>
      </c>
      <c r="L3" s="4" t="n">
        <v>172</v>
      </c>
      <c r="M3" s="4" t="n">
        <v>187</v>
      </c>
      <c r="N3" s="4" t="n">
        <v>193</v>
      </c>
      <c r="O3" s="4" t="n">
        <v>190</v>
      </c>
      <c r="P3" s="4" t="n">
        <v>192</v>
      </c>
      <c r="Q3" s="4" t="n">
        <v>191</v>
      </c>
      <c r="R3" s="4" t="n">
        <v>186</v>
      </c>
      <c r="S3" s="4" t="n">
        <v>142</v>
      </c>
      <c r="T3" s="5" t="s">
        <v>9</v>
      </c>
      <c r="U3" s="3" t="n">
        <v>150</v>
      </c>
      <c r="V3" s="4" t="n">
        <v>231</v>
      </c>
      <c r="W3" s="4" t="n">
        <v>172</v>
      </c>
      <c r="X3" s="4" t="n">
        <v>187</v>
      </c>
      <c r="Y3" s="4" t="n">
        <v>193</v>
      </c>
      <c r="Z3" s="4" t="n">
        <v>190</v>
      </c>
      <c r="AA3" s="4" t="n">
        <v>192</v>
      </c>
      <c r="AB3" s="4" t="n">
        <v>191</v>
      </c>
      <c r="AC3" s="4" t="n">
        <v>186</v>
      </c>
      <c r="AD3" s="5" t="n">
        <v>142</v>
      </c>
      <c r="AF3" s="3" t="n">
        <v>150</v>
      </c>
      <c r="AG3" s="4" t="n">
        <v>231</v>
      </c>
      <c r="AH3" s="4" t="n">
        <v>172</v>
      </c>
      <c r="AI3" s="4" t="n">
        <v>187</v>
      </c>
      <c r="AJ3" s="4" t="n">
        <v>193</v>
      </c>
      <c r="AK3" s="4" t="n">
        <v>190</v>
      </c>
      <c r="AL3" s="4" t="n">
        <v>192</v>
      </c>
      <c r="AM3" s="4" t="n">
        <v>191</v>
      </c>
      <c r="AN3" s="4" t="n">
        <v>186</v>
      </c>
      <c r="AO3" s="5" t="n">
        <v>142</v>
      </c>
    </row>
    <row r="4" customFormat="false" ht="15.75" hidden="false" customHeight="true" outlineLevel="0" collapsed="false">
      <c r="A4" s="0"/>
      <c r="B4" s="0"/>
      <c r="C4" s="0"/>
      <c r="D4" s="0"/>
      <c r="E4" s="0"/>
      <c r="F4" s="2"/>
      <c r="G4" s="0"/>
      <c r="H4" s="0"/>
      <c r="I4" s="0"/>
      <c r="J4" s="3"/>
      <c r="K4" s="4"/>
      <c r="L4" s="4"/>
      <c r="M4" s="4"/>
      <c r="N4" s="4"/>
      <c r="O4" s="4"/>
      <c r="P4" s="4"/>
      <c r="Q4" s="4"/>
      <c r="R4" s="4"/>
      <c r="S4" s="4"/>
      <c r="T4" s="5"/>
      <c r="U4" s="3"/>
      <c r="V4" s="4"/>
      <c r="W4" s="4"/>
      <c r="X4" s="4"/>
      <c r="Y4" s="4"/>
      <c r="Z4" s="4"/>
      <c r="AA4" s="4"/>
      <c r="AB4" s="4"/>
      <c r="AC4" s="4"/>
      <c r="AD4" s="5"/>
      <c r="AF4" s="3"/>
      <c r="AG4" s="4"/>
      <c r="AH4" s="4"/>
      <c r="AI4" s="4"/>
      <c r="AJ4" s="4"/>
      <c r="AK4" s="4"/>
      <c r="AL4" s="4"/>
      <c r="AM4" s="4"/>
      <c r="AN4" s="4"/>
      <c r="AO4" s="5"/>
    </row>
    <row r="5" customFormat="false" ht="15" hidden="false" customHeight="true" outlineLevel="0" collapsed="false">
      <c r="A5" s="2" t="s">
        <v>10</v>
      </c>
      <c r="B5" s="6" t="n">
        <v>2015</v>
      </c>
      <c r="C5" s="7" t="n">
        <f aca="false">SUM(J5:T5)</f>
        <v>20589.041</v>
      </c>
      <c r="D5" s="7" t="n">
        <f aca="false">SUM(U5:AD5)</f>
        <v>4756.581</v>
      </c>
      <c r="E5" s="7" t="n">
        <v>541.564</v>
      </c>
      <c r="F5" s="8" t="n">
        <f aca="false">SUM(C5:E5)</f>
        <v>25887.186</v>
      </c>
      <c r="G5" s="0"/>
      <c r="H5" s="0"/>
      <c r="I5" s="0"/>
      <c r="J5" s="9" t="n">
        <f aca="false">573.069+11817.083</f>
        <v>12390.152</v>
      </c>
      <c r="K5" s="10" t="n">
        <v>326.662</v>
      </c>
      <c r="L5" s="10" t="n">
        <v>5270.73</v>
      </c>
      <c r="M5" s="10" t="n">
        <v>0</v>
      </c>
      <c r="N5" s="10" t="n">
        <v>575.104</v>
      </c>
      <c r="O5" s="10" t="n">
        <v>1297.763</v>
      </c>
      <c r="P5" s="10" t="n">
        <f aca="false">103.654+224.154</f>
        <v>327.808</v>
      </c>
      <c r="Q5" s="10" t="n">
        <v>33.318</v>
      </c>
      <c r="R5" s="10" t="n">
        <v>100.688</v>
      </c>
      <c r="S5" s="10" t="n">
        <f aca="false">200.654+66.162</f>
        <v>266.816</v>
      </c>
      <c r="T5" s="11"/>
      <c r="U5" s="12" t="n">
        <v>97.587</v>
      </c>
      <c r="V5" s="13" t="n">
        <v>2063.143</v>
      </c>
      <c r="W5" s="13" t="n">
        <v>1037.409</v>
      </c>
      <c r="X5" s="13"/>
      <c r="Y5" s="13" t="n">
        <v>859.396</v>
      </c>
      <c r="Z5" s="13" t="n">
        <v>82.502</v>
      </c>
      <c r="AA5" s="13" t="n">
        <v>564.799</v>
      </c>
      <c r="AB5" s="13"/>
      <c r="AC5" s="13" t="n">
        <v>4.232</v>
      </c>
      <c r="AD5" s="14" t="n">
        <v>47.513</v>
      </c>
      <c r="AF5" s="9" t="n">
        <f aca="false">J5+U5</f>
        <v>12487.739</v>
      </c>
      <c r="AG5" s="10" t="n">
        <f aca="false">K5+V5</f>
        <v>2389.805</v>
      </c>
      <c r="AH5" s="10" t="n">
        <f aca="false">L5+W5</f>
        <v>6308.139</v>
      </c>
      <c r="AI5" s="10" t="n">
        <f aca="false">M5+X5</f>
        <v>0</v>
      </c>
      <c r="AJ5" s="10" t="n">
        <f aca="false">N5+Y5</f>
        <v>1434.5</v>
      </c>
      <c r="AK5" s="10" t="n">
        <f aca="false">O5+Z5</f>
        <v>1380.265</v>
      </c>
      <c r="AL5" s="10" t="n">
        <f aca="false">P5+AA5</f>
        <v>892.607</v>
      </c>
      <c r="AM5" s="10" t="n">
        <f aca="false">Q5+AB5</f>
        <v>33.318</v>
      </c>
      <c r="AN5" s="10" t="n">
        <f aca="false">R5+AC5</f>
        <v>104.92</v>
      </c>
      <c r="AO5" s="11" t="n">
        <f aca="false">S5+AD5</f>
        <v>314.329</v>
      </c>
    </row>
    <row r="6" customFormat="false" ht="15.8" hidden="false" customHeight="true" outlineLevel="0" collapsed="false">
      <c r="A6" s="2" t="s">
        <v>11</v>
      </c>
      <c r="B6" s="9" t="n">
        <v>2014</v>
      </c>
      <c r="C6" s="15" t="n">
        <f aca="false">SUM(J6:T6)</f>
        <v>20466.755</v>
      </c>
      <c r="D6" s="15" t="n">
        <f aca="false">SUM(U6:AD6)</f>
        <v>4850.788</v>
      </c>
      <c r="E6" s="15" t="n">
        <v>564.117</v>
      </c>
      <c r="F6" s="16" t="n">
        <f aca="false">SUM(C6:E6)</f>
        <v>25881.66</v>
      </c>
      <c r="G6" s="0"/>
      <c r="H6" s="0"/>
      <c r="I6" s="0"/>
      <c r="J6" s="9" t="n">
        <f aca="false">580.889+11738.334</f>
        <v>12319.223</v>
      </c>
      <c r="K6" s="10" t="n">
        <v>319.204</v>
      </c>
      <c r="L6" s="10" t="n">
        <v>5272.701</v>
      </c>
      <c r="M6" s="10" t="n">
        <v>0</v>
      </c>
      <c r="N6" s="10" t="n">
        <v>575.104</v>
      </c>
      <c r="O6" s="10" t="n">
        <v>1272.787</v>
      </c>
      <c r="P6" s="10" t="n">
        <f aca="false">101.014+213.963</f>
        <v>314.977</v>
      </c>
      <c r="Q6" s="10" t="n">
        <v>33.312</v>
      </c>
      <c r="R6" s="10" t="n">
        <v>100.688</v>
      </c>
      <c r="S6" s="10" t="n">
        <f aca="false">190.777+67.982</f>
        <v>258.759</v>
      </c>
      <c r="T6" s="11"/>
      <c r="U6" s="12" t="n">
        <v>94.217</v>
      </c>
      <c r="V6" s="13" t="n">
        <v>2030.744</v>
      </c>
      <c r="W6" s="13" t="n">
        <v>1058.549</v>
      </c>
      <c r="X6" s="13"/>
      <c r="Y6" s="13" t="n">
        <v>854.003</v>
      </c>
      <c r="Z6" s="13" t="n">
        <v>94.843</v>
      </c>
      <c r="AA6" s="13" t="n">
        <v>669.193</v>
      </c>
      <c r="AB6" s="13"/>
      <c r="AC6" s="13" t="n">
        <v>4.232</v>
      </c>
      <c r="AD6" s="14" t="n">
        <v>45.007</v>
      </c>
      <c r="AF6" s="9" t="n">
        <f aca="false">J6+U6</f>
        <v>12413.44</v>
      </c>
      <c r="AG6" s="10" t="n">
        <f aca="false">K6+V6</f>
        <v>2349.948</v>
      </c>
      <c r="AH6" s="10" t="n">
        <f aca="false">L6+W6</f>
        <v>6331.25</v>
      </c>
      <c r="AI6" s="10" t="n">
        <f aca="false">M6+X6</f>
        <v>0</v>
      </c>
      <c r="AJ6" s="10" t="n">
        <f aca="false">N6+Y6</f>
        <v>1429.107</v>
      </c>
      <c r="AK6" s="10" t="n">
        <f aca="false">O6+Z6</f>
        <v>1367.63</v>
      </c>
      <c r="AL6" s="10" t="n">
        <f aca="false">P6+AA6</f>
        <v>984.17</v>
      </c>
      <c r="AM6" s="10" t="n">
        <f aca="false">Q6+AB6</f>
        <v>33.312</v>
      </c>
      <c r="AN6" s="10" t="n">
        <f aca="false">R6+AC6</f>
        <v>104.92</v>
      </c>
      <c r="AO6" s="11" t="n">
        <f aca="false">S6+AD6</f>
        <v>303.766</v>
      </c>
    </row>
    <row r="7" customFormat="false" ht="15" hidden="false" customHeight="true" outlineLevel="0" collapsed="false">
      <c r="A7" s="2" t="s">
        <v>12</v>
      </c>
      <c r="B7" s="9" t="n">
        <v>2013</v>
      </c>
      <c r="C7" s="15" t="n">
        <f aca="false">SUM(J7:T7)</f>
        <v>20341.05</v>
      </c>
      <c r="D7" s="15" t="n">
        <f aca="false">SUM(U7:AD7)</f>
        <v>4622.487</v>
      </c>
      <c r="E7" s="15" t="n">
        <v>721.27</v>
      </c>
      <c r="F7" s="16" t="n">
        <f aca="false">SUM(C7:E7)</f>
        <v>25684.807</v>
      </c>
      <c r="G7" s="0"/>
      <c r="H7" s="0"/>
      <c r="I7" s="0"/>
      <c r="J7" s="17" t="n">
        <f aca="false">569.54+11708.9</f>
        <v>12278.44</v>
      </c>
      <c r="K7" s="18" t="n">
        <v>335.64</v>
      </c>
      <c r="L7" s="18" t="n">
        <v>4007.6</v>
      </c>
      <c r="M7" s="18" t="n">
        <v>1273.4</v>
      </c>
      <c r="N7" s="18" t="n">
        <v>568.45</v>
      </c>
      <c r="O7" s="18" t="n">
        <v>1184.25</v>
      </c>
      <c r="P7" s="18" t="n">
        <f aca="false">98.39+208.18</f>
        <v>306.57</v>
      </c>
      <c r="Q7" s="18" t="n">
        <v>32.24</v>
      </c>
      <c r="R7" s="18" t="n">
        <v>102.275</v>
      </c>
      <c r="S7" s="18" t="n">
        <f aca="false">188.746+63.439</f>
        <v>252.185</v>
      </c>
      <c r="T7" s="19"/>
      <c r="U7" s="9" t="n">
        <v>119.251</v>
      </c>
      <c r="V7" s="20" t="n">
        <v>1909.16</v>
      </c>
      <c r="W7" s="20" t="n">
        <v>900.769</v>
      </c>
      <c r="X7" s="20"/>
      <c r="Y7" s="20" t="n">
        <v>829.7</v>
      </c>
      <c r="Z7" s="20" t="n">
        <v>99.56</v>
      </c>
      <c r="AA7" s="20" t="n">
        <v>716.257</v>
      </c>
      <c r="AB7" s="20"/>
      <c r="AC7" s="20" t="n">
        <v>4.05</v>
      </c>
      <c r="AD7" s="21" t="n">
        <v>43.74</v>
      </c>
      <c r="AF7" s="9" t="n">
        <f aca="false">J7+U7</f>
        <v>12397.691</v>
      </c>
      <c r="AG7" s="10" t="n">
        <f aca="false">K7+V7</f>
        <v>2244.8</v>
      </c>
      <c r="AH7" s="10" t="n">
        <f aca="false">L7+W7</f>
        <v>4908.369</v>
      </c>
      <c r="AI7" s="10" t="n">
        <f aca="false">M7+X7</f>
        <v>1273.4</v>
      </c>
      <c r="AJ7" s="10" t="n">
        <f aca="false">N7+Y7</f>
        <v>1398.15</v>
      </c>
      <c r="AK7" s="10" t="n">
        <f aca="false">O7+Z7</f>
        <v>1283.81</v>
      </c>
      <c r="AL7" s="10" t="n">
        <f aca="false">P7+AA7</f>
        <v>1022.827</v>
      </c>
      <c r="AM7" s="10" t="n">
        <f aca="false">Q7+AB7</f>
        <v>32.24</v>
      </c>
      <c r="AN7" s="10" t="n">
        <f aca="false">R7+AC7</f>
        <v>106.325</v>
      </c>
      <c r="AO7" s="11" t="n">
        <f aca="false">S7+AD7</f>
        <v>295.925</v>
      </c>
    </row>
    <row r="8" customFormat="false" ht="15" hidden="false" customHeight="true" outlineLevel="0" collapsed="false">
      <c r="A8" s="1" t="s">
        <v>13</v>
      </c>
      <c r="B8" s="9" t="n">
        <v>2012</v>
      </c>
      <c r="C8" s="15" t="n">
        <f aca="false">SUM(J8:T8)</f>
        <v>20198.783</v>
      </c>
      <c r="D8" s="15" t="n">
        <f aca="false">SUM(U8:AD8)</f>
        <v>4826.039</v>
      </c>
      <c r="E8" s="15" t="n">
        <v>620.546</v>
      </c>
      <c r="F8" s="16" t="n">
        <f aca="false">SUM(C8:E8)</f>
        <v>25645.368</v>
      </c>
      <c r="G8" s="0"/>
      <c r="H8" s="0"/>
      <c r="I8" s="0"/>
      <c r="J8" s="17" t="n">
        <f aca="false">845.96+11699.3</f>
        <v>12545.26</v>
      </c>
      <c r="K8" s="18" t="n">
        <v>339.55</v>
      </c>
      <c r="L8" s="18" t="n">
        <v>3879.4</v>
      </c>
      <c r="M8" s="18" t="n">
        <v>1239.6</v>
      </c>
      <c r="N8" s="18" t="n">
        <v>574.96</v>
      </c>
      <c r="O8" s="18" t="n">
        <v>899.84</v>
      </c>
      <c r="P8" s="18" t="n">
        <f aca="false">100.6+196.924</f>
        <v>297.524</v>
      </c>
      <c r="Q8" s="18" t="n">
        <v>56.187</v>
      </c>
      <c r="R8" s="18" t="n">
        <v>113.105</v>
      </c>
      <c r="S8" s="18" t="n">
        <f aca="false">184.229+69.128</f>
        <v>253.357</v>
      </c>
      <c r="T8" s="19"/>
      <c r="U8" s="9" t="n">
        <v>138.68</v>
      </c>
      <c r="V8" s="10" t="n">
        <v>1887.6</v>
      </c>
      <c r="W8" s="10" t="n">
        <v>1079.95</v>
      </c>
      <c r="X8" s="10"/>
      <c r="Y8" s="10" t="n">
        <v>800.7</v>
      </c>
      <c r="Z8" s="10" t="n">
        <v>168.21</v>
      </c>
      <c r="AA8" s="10" t="n">
        <v>699.84</v>
      </c>
      <c r="AB8" s="10"/>
      <c r="AC8" s="10" t="n">
        <v>4.299</v>
      </c>
      <c r="AD8" s="11" t="n">
        <v>46.76</v>
      </c>
      <c r="AF8" s="9" t="n">
        <f aca="false">J8+U8</f>
        <v>12683.94</v>
      </c>
      <c r="AG8" s="10" t="n">
        <f aca="false">K8+V8</f>
        <v>2227.15</v>
      </c>
      <c r="AH8" s="10" t="n">
        <f aca="false">L8+W8</f>
        <v>4959.35</v>
      </c>
      <c r="AI8" s="10" t="n">
        <f aca="false">M8+X8</f>
        <v>1239.6</v>
      </c>
      <c r="AJ8" s="10" t="n">
        <f aca="false">N8+Y8</f>
        <v>1375.66</v>
      </c>
      <c r="AK8" s="10" t="n">
        <f aca="false">O8+Z8</f>
        <v>1068.05</v>
      </c>
      <c r="AL8" s="10" t="n">
        <f aca="false">P8+AA8</f>
        <v>997.364</v>
      </c>
      <c r="AM8" s="10" t="n">
        <f aca="false">Q8+AB8</f>
        <v>56.187</v>
      </c>
      <c r="AN8" s="10" t="n">
        <f aca="false">R8+AC8</f>
        <v>117.404</v>
      </c>
      <c r="AO8" s="11" t="n">
        <f aca="false">S8+AD8</f>
        <v>300.117</v>
      </c>
    </row>
    <row r="9" customFormat="false" ht="15" hidden="false" customHeight="true" outlineLevel="0" collapsed="false">
      <c r="A9" s="1" t="s">
        <v>12</v>
      </c>
      <c r="B9" s="9" t="n">
        <v>2011</v>
      </c>
      <c r="C9" s="15" t="n">
        <f aca="false">SUM(J9:T9)</f>
        <v>19988.7</v>
      </c>
      <c r="D9" s="15" t="n">
        <f aca="false">SUM(U9:AD9)</f>
        <v>4842.6</v>
      </c>
      <c r="E9" s="15" t="n">
        <v>366.5</v>
      </c>
      <c r="F9" s="16" t="n">
        <f aca="false">SUM(C9:E9)</f>
        <v>25197.8</v>
      </c>
      <c r="G9" s="0"/>
      <c r="H9" s="0"/>
      <c r="I9" s="0"/>
      <c r="J9" s="17" t="n">
        <f aca="false">1487.6+10400.4</f>
        <v>11888</v>
      </c>
      <c r="K9" s="18" t="n">
        <v>363.3</v>
      </c>
      <c r="L9" s="18" t="n">
        <v>3854.7</v>
      </c>
      <c r="M9" s="18" t="n">
        <v>1237.3</v>
      </c>
      <c r="N9" s="18" t="n">
        <v>584.4</v>
      </c>
      <c r="O9" s="18" t="n">
        <v>1163</v>
      </c>
      <c r="P9" s="18" t="n">
        <f aca="false">98.9+239.4</f>
        <v>338.3</v>
      </c>
      <c r="Q9" s="18" t="n">
        <v>188.7</v>
      </c>
      <c r="R9" s="18" t="n">
        <v>119.1</v>
      </c>
      <c r="S9" s="18" t="n">
        <f aca="false">178.5+73.4</f>
        <v>251.9</v>
      </c>
      <c r="T9" s="19"/>
      <c r="U9" s="9" t="n">
        <v>136.4</v>
      </c>
      <c r="V9" s="10" t="n">
        <v>1795.2</v>
      </c>
      <c r="W9" s="10" t="n">
        <v>1178.5</v>
      </c>
      <c r="X9" s="10"/>
      <c r="Y9" s="10" t="n">
        <v>792.1</v>
      </c>
      <c r="Z9" s="10" t="n">
        <v>141.3</v>
      </c>
      <c r="AA9" s="10" t="n">
        <v>751.5</v>
      </c>
      <c r="AB9" s="10"/>
      <c r="AC9" s="10" t="n">
        <v>4</v>
      </c>
      <c r="AD9" s="11" t="n">
        <v>43.6</v>
      </c>
      <c r="AF9" s="9" t="n">
        <f aca="false">J9+U9</f>
        <v>12024.4</v>
      </c>
      <c r="AG9" s="10" t="n">
        <f aca="false">K9+V9</f>
        <v>2158.5</v>
      </c>
      <c r="AH9" s="10" t="n">
        <f aca="false">L9+W9</f>
        <v>5033.2</v>
      </c>
      <c r="AI9" s="10" t="n">
        <f aca="false">M9+X9</f>
        <v>1237.3</v>
      </c>
      <c r="AJ9" s="10" t="n">
        <f aca="false">N9+Y9</f>
        <v>1376.5</v>
      </c>
      <c r="AK9" s="10" t="n">
        <f aca="false">O9+Z9</f>
        <v>1304.3</v>
      </c>
      <c r="AL9" s="10" t="n">
        <f aca="false">P9+AA9</f>
        <v>1089.8</v>
      </c>
      <c r="AM9" s="10" t="n">
        <f aca="false">Q9+AB9</f>
        <v>188.7</v>
      </c>
      <c r="AN9" s="10" t="n">
        <f aca="false">R9+AC9</f>
        <v>123.1</v>
      </c>
      <c r="AO9" s="11" t="n">
        <f aca="false">S9+AD9</f>
        <v>295.5</v>
      </c>
    </row>
    <row r="10" customFormat="false" ht="15" hidden="false" customHeight="true" outlineLevel="0" collapsed="false">
      <c r="A10" s="1" t="s">
        <v>12</v>
      </c>
      <c r="B10" s="9" t="n">
        <v>2010</v>
      </c>
      <c r="C10" s="15" t="n">
        <f aca="false">SUM(J10:T10)</f>
        <v>19844.6</v>
      </c>
      <c r="D10" s="15" t="n">
        <f aca="false">SUM(U10:AD10)</f>
        <v>4565.8</v>
      </c>
      <c r="E10" s="15" t="n">
        <v>385.6</v>
      </c>
      <c r="F10" s="16" t="n">
        <f aca="false">SUM(C10:E10)</f>
        <v>24796</v>
      </c>
      <c r="G10" s="0"/>
      <c r="H10" s="0"/>
      <c r="I10" s="0"/>
      <c r="J10" s="17" t="n">
        <f aca="false">3320+8405.1</f>
        <v>11725.1</v>
      </c>
      <c r="K10" s="18" t="n">
        <v>422.7</v>
      </c>
      <c r="L10" s="18" t="n">
        <v>3935.8</v>
      </c>
      <c r="M10" s="18" t="n">
        <v>1231</v>
      </c>
      <c r="N10" s="18" t="n">
        <v>559.9</v>
      </c>
      <c r="O10" s="18" t="n">
        <v>1035</v>
      </c>
      <c r="P10" s="18" t="n">
        <f aca="false">98.2+241.6</f>
        <v>339.8</v>
      </c>
      <c r="Q10" s="18" t="n">
        <v>193.6</v>
      </c>
      <c r="R10" s="18" t="n">
        <f aca="false">114.4+29.9</f>
        <v>144.3</v>
      </c>
      <c r="S10" s="18" t="n">
        <f aca="false">173.9+83.5</f>
        <v>257.4</v>
      </c>
      <c r="T10" s="19"/>
      <c r="U10" s="9" t="n">
        <v>101.5</v>
      </c>
      <c r="V10" s="10" t="n">
        <v>1711</v>
      </c>
      <c r="W10" s="10" t="n">
        <v>1194.7</v>
      </c>
      <c r="X10" s="10"/>
      <c r="Y10" s="10" t="n">
        <v>718.2</v>
      </c>
      <c r="Z10" s="10" t="n">
        <v>142.2</v>
      </c>
      <c r="AA10" s="10" t="n">
        <v>645.3</v>
      </c>
      <c r="AB10" s="10"/>
      <c r="AC10" s="10" t="n">
        <v>7.9</v>
      </c>
      <c r="AD10" s="11" t="n">
        <v>45</v>
      </c>
      <c r="AF10" s="9" t="n">
        <f aca="false">J10+U10</f>
        <v>11826.6</v>
      </c>
      <c r="AG10" s="10" t="n">
        <f aca="false">K10+V10</f>
        <v>2133.7</v>
      </c>
      <c r="AH10" s="10" t="n">
        <f aca="false">L10+W10</f>
        <v>5130.5</v>
      </c>
      <c r="AI10" s="10" t="n">
        <f aca="false">M10+X10</f>
        <v>1231</v>
      </c>
      <c r="AJ10" s="10" t="n">
        <f aca="false">N10+Y10</f>
        <v>1278.1</v>
      </c>
      <c r="AK10" s="10" t="n">
        <f aca="false">O10+Z10</f>
        <v>1177.2</v>
      </c>
      <c r="AL10" s="10" t="n">
        <f aca="false">P10+AA10</f>
        <v>985.1</v>
      </c>
      <c r="AM10" s="10" t="n">
        <f aca="false">Q10+AB10</f>
        <v>193.6</v>
      </c>
      <c r="AN10" s="10" t="n">
        <f aca="false">R10+AC10</f>
        <v>152.2</v>
      </c>
      <c r="AO10" s="11" t="n">
        <f aca="false">S10+AD10</f>
        <v>302.4</v>
      </c>
    </row>
    <row r="11" customFormat="false" ht="15" hidden="false" customHeight="true" outlineLevel="0" collapsed="false">
      <c r="A11" s="1" t="s">
        <v>12</v>
      </c>
      <c r="B11" s="9" t="n">
        <v>2009</v>
      </c>
      <c r="C11" s="15" t="n">
        <f aca="false">SUM(J11:T11)</f>
        <v>19335.7</v>
      </c>
      <c r="D11" s="15" t="n">
        <f aca="false">SUM(U11:AD11)</f>
        <v>4300.5</v>
      </c>
      <c r="E11" s="15" t="n">
        <v>539.7</v>
      </c>
      <c r="F11" s="16" t="n">
        <f aca="false">SUM(C11:E11)</f>
        <v>24175.9</v>
      </c>
      <c r="G11" s="0"/>
      <c r="H11" s="0"/>
      <c r="I11" s="0"/>
      <c r="J11" s="17" t="n">
        <f aca="false">6652.1+4642.6</f>
        <v>11294.7</v>
      </c>
      <c r="K11" s="18" t="n">
        <f aca="false">63.4+444.6</f>
        <v>508</v>
      </c>
      <c r="L11" s="18" t="n">
        <v>3710</v>
      </c>
      <c r="M11" s="18" t="n">
        <v>1223.9</v>
      </c>
      <c r="N11" s="18" t="n">
        <v>557.8</v>
      </c>
      <c r="O11" s="18" t="n">
        <v>1059.3</v>
      </c>
      <c r="P11" s="18" t="n">
        <f aca="false">94+239.8</f>
        <v>333.8</v>
      </c>
      <c r="Q11" s="18" t="n">
        <v>200</v>
      </c>
      <c r="R11" s="18" t="n">
        <f aca="false">30.4+119.7</f>
        <v>150.1</v>
      </c>
      <c r="S11" s="18" t="n">
        <f aca="false">165.2+81.9</f>
        <v>247.1</v>
      </c>
      <c r="T11" s="19" t="n">
        <f aca="false">51</f>
        <v>51</v>
      </c>
      <c r="U11" s="9" t="n">
        <v>111.5</v>
      </c>
      <c r="V11" s="10" t="n">
        <v>1555.9</v>
      </c>
      <c r="W11" s="10" t="n">
        <v>1284</v>
      </c>
      <c r="X11" s="10"/>
      <c r="Y11" s="10" t="n">
        <v>712.2</v>
      </c>
      <c r="Z11" s="10" t="n">
        <v>89.2</v>
      </c>
      <c r="AA11" s="10" t="n">
        <v>496.3</v>
      </c>
      <c r="AB11" s="10"/>
      <c r="AC11" s="10" t="n">
        <v>6.1</v>
      </c>
      <c r="AD11" s="11" t="n">
        <v>45.3</v>
      </c>
      <c r="AF11" s="9" t="n">
        <f aca="false">J11+U11</f>
        <v>11406.2</v>
      </c>
      <c r="AG11" s="10" t="n">
        <f aca="false">K11+V11</f>
        <v>2063.9</v>
      </c>
      <c r="AH11" s="10" t="n">
        <f aca="false">L11+W11</f>
        <v>4994</v>
      </c>
      <c r="AI11" s="10" t="n">
        <f aca="false">M11+X11</f>
        <v>1223.9</v>
      </c>
      <c r="AJ11" s="10" t="n">
        <f aca="false">N11+Y11</f>
        <v>1270</v>
      </c>
      <c r="AK11" s="10" t="n">
        <f aca="false">O11+Z11</f>
        <v>1148.5</v>
      </c>
      <c r="AL11" s="10" t="n">
        <f aca="false">P11+AA11</f>
        <v>830.1</v>
      </c>
      <c r="AM11" s="10" t="n">
        <f aca="false">Q11+AB11</f>
        <v>200</v>
      </c>
      <c r="AN11" s="10" t="n">
        <f aca="false">R11+AC11</f>
        <v>156.2</v>
      </c>
      <c r="AO11" s="11" t="n">
        <f aca="false">S11+AD11</f>
        <v>292.4</v>
      </c>
    </row>
    <row r="12" customFormat="false" ht="15" hidden="false" customHeight="true" outlineLevel="0" collapsed="false">
      <c r="A12" s="1" t="s">
        <v>12</v>
      </c>
      <c r="B12" s="9" t="n">
        <v>2008</v>
      </c>
      <c r="C12" s="15" t="n">
        <f aca="false">SUM(J12:T12)</f>
        <v>19085.75</v>
      </c>
      <c r="D12" s="15" t="n">
        <f aca="false">SUM(U12:AD12)</f>
        <v>3138.8</v>
      </c>
      <c r="E12" s="15" t="n">
        <v>369.7</v>
      </c>
      <c r="F12" s="16" t="n">
        <f aca="false">SUM(C12:E12)</f>
        <v>22594.25</v>
      </c>
      <c r="G12" s="0"/>
      <c r="H12" s="0"/>
      <c r="I12" s="0"/>
      <c r="J12" s="17" t="n">
        <f aca="false">8477.6+2357.1</f>
        <v>10834.7</v>
      </c>
      <c r="K12" s="18" t="n">
        <f aca="false">81.4+387.6</f>
        <v>469</v>
      </c>
      <c r="L12" s="18" t="n">
        <v>4384.3</v>
      </c>
      <c r="M12" s="18" t="n">
        <v>1209</v>
      </c>
      <c r="N12" s="18" t="n">
        <v>530.2</v>
      </c>
      <c r="O12" s="18" t="n">
        <f aca="false">20+635.2+113.6</f>
        <v>768.8</v>
      </c>
      <c r="P12" s="18" t="n">
        <f aca="false">91.5+227.1</f>
        <v>318.6</v>
      </c>
      <c r="Q12" s="18" t="n">
        <v>195</v>
      </c>
      <c r="R12" s="18" t="n">
        <f aca="false">30.4+106.6</f>
        <v>137</v>
      </c>
      <c r="S12" s="18" t="n">
        <f aca="false">156.6+82.55</f>
        <v>239.15</v>
      </c>
      <c r="T12" s="19"/>
      <c r="U12" s="9" t="n">
        <v>106.8</v>
      </c>
      <c r="V12" s="10" t="n">
        <v>1461.8</v>
      </c>
      <c r="W12" s="10" t="n">
        <v>398.5</v>
      </c>
      <c r="X12" s="10"/>
      <c r="Y12" s="10" t="n">
        <v>707.9</v>
      </c>
      <c r="Z12" s="10" t="n">
        <f aca="false">7.8+96.7</f>
        <v>104.5</v>
      </c>
      <c r="AA12" s="10" t="n">
        <v>317.7</v>
      </c>
      <c r="AB12" s="10"/>
      <c r="AC12" s="10" t="n">
        <v>5.6</v>
      </c>
      <c r="AD12" s="11" t="n">
        <v>36</v>
      </c>
      <c r="AF12" s="9" t="n">
        <f aca="false">J12+U12</f>
        <v>10941.5</v>
      </c>
      <c r="AG12" s="10" t="n">
        <f aca="false">K12+V12</f>
        <v>1930.8</v>
      </c>
      <c r="AH12" s="10" t="n">
        <f aca="false">L12+W12</f>
        <v>4782.8</v>
      </c>
      <c r="AI12" s="10" t="n">
        <f aca="false">M12+X12</f>
        <v>1209</v>
      </c>
      <c r="AJ12" s="10" t="n">
        <f aca="false">N12+Y12</f>
        <v>1238.1</v>
      </c>
      <c r="AK12" s="10" t="n">
        <f aca="false">O12+Z12</f>
        <v>873.3</v>
      </c>
      <c r="AL12" s="10" t="n">
        <f aca="false">P12+AA12</f>
        <v>636.3</v>
      </c>
      <c r="AM12" s="10" t="n">
        <f aca="false">Q12+AB12</f>
        <v>195</v>
      </c>
      <c r="AN12" s="10" t="n">
        <f aca="false">R12+AC12</f>
        <v>142.6</v>
      </c>
      <c r="AO12" s="11" t="n">
        <f aca="false">S12+AD12</f>
        <v>275.15</v>
      </c>
    </row>
    <row r="13" customFormat="false" ht="15.75" hidden="false" customHeight="true" outlineLevel="0" collapsed="false">
      <c r="A13" s="0"/>
      <c r="B13" s="22" t="n">
        <v>2007</v>
      </c>
      <c r="C13" s="23" t="n">
        <f aca="false">SUM(J13:T13)</f>
        <v>17344.391</v>
      </c>
      <c r="D13" s="23" t="n">
        <f aca="false">SUM(U13:AD13)</f>
        <v>3392.957</v>
      </c>
      <c r="E13" s="23" t="n">
        <v>336.986</v>
      </c>
      <c r="F13" s="24" t="n">
        <f aca="false">SUM(C13:E13)</f>
        <v>21074.334</v>
      </c>
      <c r="G13" s="0"/>
      <c r="H13" s="0"/>
      <c r="I13" s="0"/>
      <c r="J13" s="25" t="n">
        <f aca="false">8120.743+2136.016</f>
        <v>10256.759</v>
      </c>
      <c r="K13" s="26" t="n">
        <f aca="false">68.96+353.123</f>
        <v>422.083</v>
      </c>
      <c r="L13" s="26" t="n">
        <f aca="false">0.3+3346.791</f>
        <v>3347.091</v>
      </c>
      <c r="M13" s="26" t="n">
        <f aca="false">1125.466</f>
        <v>1125.466</v>
      </c>
      <c r="N13" s="26" t="n">
        <f aca="false">538.558</f>
        <v>538.558</v>
      </c>
      <c r="O13" s="26" t="n">
        <f aca="false">114.23+599.016</f>
        <v>713.246</v>
      </c>
      <c r="P13" s="26" t="n">
        <f aca="false">134.696+244.352</f>
        <v>379.048</v>
      </c>
      <c r="Q13" s="26" t="n">
        <v>196.184</v>
      </c>
      <c r="R13" s="26" t="n">
        <f aca="false">34.035+107.777</f>
        <v>141.812</v>
      </c>
      <c r="S13" s="26" t="n">
        <f aca="false">147.644+76.5</f>
        <v>224.144</v>
      </c>
      <c r="T13" s="27"/>
      <c r="U13" s="22" t="n">
        <v>95.272</v>
      </c>
      <c r="V13" s="28" t="n">
        <v>1428.628</v>
      </c>
      <c r="W13" s="28" t="n">
        <v>291.376</v>
      </c>
      <c r="X13" s="28"/>
      <c r="Y13" s="28" t="n">
        <v>708.923</v>
      </c>
      <c r="Z13" s="28" t="n">
        <f aca="false">80.501+8.202</f>
        <v>88.703</v>
      </c>
      <c r="AA13" s="28" t="n">
        <f aca="false">726.432+6.987</f>
        <v>733.419</v>
      </c>
      <c r="AB13" s="28"/>
      <c r="AC13" s="28" t="n">
        <v>5.811</v>
      </c>
      <c r="AD13" s="29" t="n">
        <v>40.825</v>
      </c>
      <c r="AF13" s="22" t="n">
        <f aca="false">J13+U13</f>
        <v>10352.031</v>
      </c>
      <c r="AG13" s="28" t="n">
        <f aca="false">K13+V13</f>
        <v>1850.711</v>
      </c>
      <c r="AH13" s="28" t="n">
        <f aca="false">L13+W13</f>
        <v>3638.467</v>
      </c>
      <c r="AI13" s="28" t="n">
        <f aca="false">M13+X13</f>
        <v>1125.466</v>
      </c>
      <c r="AJ13" s="28" t="n">
        <f aca="false">N13+Y13</f>
        <v>1247.481</v>
      </c>
      <c r="AK13" s="28" t="n">
        <f aca="false">O13+Z13</f>
        <v>801.949</v>
      </c>
      <c r="AL13" s="28" t="n">
        <f aca="false">P13+AA13</f>
        <v>1112.467</v>
      </c>
      <c r="AM13" s="28" t="n">
        <f aca="false">Q13+AB13</f>
        <v>196.184</v>
      </c>
      <c r="AN13" s="28" t="n">
        <f aca="false">R13+AC13</f>
        <v>147.623</v>
      </c>
      <c r="AO13" s="29" t="n">
        <f aca="false">S13+AD13</f>
        <v>264.969</v>
      </c>
    </row>
    <row r="14" customFormat="false" ht="1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F14" s="0"/>
      <c r="AG14" s="0"/>
      <c r="AH14" s="0"/>
      <c r="AI14" s="0"/>
      <c r="AJ14" s="0"/>
      <c r="AK14" s="0"/>
      <c r="AL14" s="0"/>
      <c r="AM14" s="0"/>
      <c r="AN14" s="0"/>
      <c r="AO14" s="0"/>
    </row>
    <row r="15" customFormat="false" ht="15.75" hidden="false" customHeight="true" outlineLevel="0" collapsed="false">
      <c r="A15" s="2" t="s">
        <v>14</v>
      </c>
      <c r="B15" s="1" t="s">
        <v>4</v>
      </c>
      <c r="C15" s="1" t="s">
        <v>5</v>
      </c>
      <c r="D15" s="1" t="s">
        <v>6</v>
      </c>
      <c r="E15" s="1" t="s">
        <v>7</v>
      </c>
      <c r="F15" s="0"/>
      <c r="G15" s="0"/>
      <c r="H15" s="0"/>
      <c r="I15" s="0"/>
      <c r="J15" s="1" t="s">
        <v>15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F15" s="0"/>
      <c r="AG15" s="0"/>
      <c r="AH15" s="0"/>
      <c r="AI15" s="0"/>
      <c r="AJ15" s="0"/>
      <c r="AK15" s="0"/>
      <c r="AL15" s="0"/>
      <c r="AM15" s="0"/>
      <c r="AN15" s="0"/>
      <c r="AO15" s="0"/>
    </row>
    <row r="16" customFormat="false" ht="15" hidden="false" customHeight="true" outlineLevel="0" collapsed="false">
      <c r="A16" s="2" t="s">
        <v>10</v>
      </c>
      <c r="B16" s="6" t="n">
        <v>2015</v>
      </c>
      <c r="C16" s="30" t="n">
        <f aca="false">C5-C6</f>
        <v>122.286</v>
      </c>
      <c r="D16" s="30" t="n">
        <f aca="false">D5-D6</f>
        <v>-94.2069999999994</v>
      </c>
      <c r="E16" s="30" t="n">
        <f aca="false">E5-E6</f>
        <v>-22.553</v>
      </c>
      <c r="F16" s="31" t="n">
        <f aca="false">F5-F6</f>
        <v>5.52599999999802</v>
      </c>
      <c r="G16" s="0"/>
      <c r="H16" s="0"/>
      <c r="I16" s="0"/>
      <c r="J16" s="6" t="n">
        <f aca="false">J5-J6</f>
        <v>70.9290000000001</v>
      </c>
      <c r="K16" s="32" t="n">
        <f aca="false">K5-K6</f>
        <v>7.45799999999997</v>
      </c>
      <c r="L16" s="32" t="n">
        <f aca="false">L5-L6</f>
        <v>-1.97100000000046</v>
      </c>
      <c r="M16" s="32" t="n">
        <f aca="false">M5-M6</f>
        <v>0</v>
      </c>
      <c r="N16" s="32" t="n">
        <f aca="false">N5-N6</f>
        <v>0</v>
      </c>
      <c r="O16" s="32" t="n">
        <f aca="false">O5-O6</f>
        <v>24.9759999999999</v>
      </c>
      <c r="P16" s="32" t="n">
        <f aca="false">P5-P6</f>
        <v>12.831</v>
      </c>
      <c r="Q16" s="32" t="n">
        <f aca="false">Q5-Q6</f>
        <v>0.00600000000000023</v>
      </c>
      <c r="R16" s="32" t="n">
        <f aca="false">R5-R6</f>
        <v>0</v>
      </c>
      <c r="S16" s="32" t="n">
        <f aca="false">S5-S6</f>
        <v>8.05700000000002</v>
      </c>
      <c r="T16" s="33" t="n">
        <f aca="false">T5-T6</f>
        <v>0</v>
      </c>
      <c r="U16" s="6" t="n">
        <f aca="false">U5-U6</f>
        <v>3.37</v>
      </c>
      <c r="V16" s="32" t="n">
        <f aca="false">V5-V6</f>
        <v>32.3990000000001</v>
      </c>
      <c r="W16" s="32" t="n">
        <f aca="false">W5-W6</f>
        <v>-21.1399999999999</v>
      </c>
      <c r="X16" s="32" t="n">
        <f aca="false">X5-X6</f>
        <v>0</v>
      </c>
      <c r="Y16" s="32" t="n">
        <f aca="false">Y5-Y6</f>
        <v>5.39299999999992</v>
      </c>
      <c r="Z16" s="32" t="n">
        <f aca="false">Z5-Z6</f>
        <v>-12.341</v>
      </c>
      <c r="AA16" s="32" t="n">
        <f aca="false">AA5-AA6</f>
        <v>-104.394</v>
      </c>
      <c r="AB16" s="32" t="n">
        <f aca="false">AB5-AB6</f>
        <v>0</v>
      </c>
      <c r="AC16" s="32" t="n">
        <f aca="false">AC5-AC6</f>
        <v>0</v>
      </c>
      <c r="AD16" s="33" t="n">
        <f aca="false">AD5-AD6</f>
        <v>2.506</v>
      </c>
      <c r="AF16" s="6" t="n">
        <f aca="false">AF5-AF6</f>
        <v>74.2989999999991</v>
      </c>
      <c r="AG16" s="32" t="n">
        <f aca="false">AG5-AG6</f>
        <v>39.857</v>
      </c>
      <c r="AH16" s="32" t="n">
        <f aca="false">AH5-AH6</f>
        <v>-23.1110000000008</v>
      </c>
      <c r="AI16" s="32" t="n">
        <f aca="false">AI5-AI6</f>
        <v>0</v>
      </c>
      <c r="AJ16" s="32" t="n">
        <f aca="false">AJ5-AJ6</f>
        <v>5.39300000000003</v>
      </c>
      <c r="AK16" s="32" t="n">
        <f aca="false">AK5-AK6</f>
        <v>12.6349999999998</v>
      </c>
      <c r="AL16" s="32" t="n">
        <f aca="false">AL5-AL6</f>
        <v>-91.563</v>
      </c>
      <c r="AM16" s="32" t="n">
        <f aca="false">AM5-AM6</f>
        <v>0.00600000000000023</v>
      </c>
      <c r="AN16" s="32" t="n">
        <f aca="false">AN5-AN6</f>
        <v>0</v>
      </c>
      <c r="AO16" s="33" t="n">
        <f aca="false">AO5-AO6</f>
        <v>10.563</v>
      </c>
    </row>
    <row r="17" customFormat="false" ht="15" hidden="false" customHeight="true" outlineLevel="0" collapsed="false">
      <c r="A17" s="2" t="s">
        <v>11</v>
      </c>
      <c r="B17" s="9" t="n">
        <v>2014</v>
      </c>
      <c r="C17" s="34" t="n">
        <f aca="false">C6-C7</f>
        <v>125.704999999994</v>
      </c>
      <c r="D17" s="34" t="n">
        <f aca="false">D6-D7</f>
        <v>228.300999999999</v>
      </c>
      <c r="E17" s="34" t="n">
        <f aca="false">E6-E7</f>
        <v>-157.153</v>
      </c>
      <c r="F17" s="35" t="n">
        <f aca="false">F6-F7</f>
        <v>196.852999999992</v>
      </c>
      <c r="G17" s="0"/>
      <c r="H17" s="0"/>
      <c r="I17" s="0"/>
      <c r="J17" s="9" t="n">
        <f aca="false">J6-J7</f>
        <v>40.7830000000013</v>
      </c>
      <c r="K17" s="10" t="n">
        <f aca="false">K6-K7</f>
        <v>-16.436</v>
      </c>
      <c r="L17" s="10" t="n">
        <f aca="false">L6-L7</f>
        <v>1265.101</v>
      </c>
      <c r="M17" s="10" t="n">
        <f aca="false">M6-M7</f>
        <v>-1273.4</v>
      </c>
      <c r="N17" s="10" t="n">
        <f aca="false">N6-N7</f>
        <v>6.654</v>
      </c>
      <c r="O17" s="10" t="n">
        <f aca="false">O6-O7</f>
        <v>88.537</v>
      </c>
      <c r="P17" s="10" t="n">
        <f aca="false">P6-P7</f>
        <v>8.40699999999998</v>
      </c>
      <c r="Q17" s="10" t="n">
        <f aca="false">Q6-Q7</f>
        <v>1.072</v>
      </c>
      <c r="R17" s="10" t="n">
        <f aca="false">R6-R7</f>
        <v>-1.587</v>
      </c>
      <c r="S17" s="10" t="n">
        <f aca="false">S6-S7</f>
        <v>6.57400000000001</v>
      </c>
      <c r="T17" s="11" t="n">
        <f aca="false">T6-T7</f>
        <v>0</v>
      </c>
      <c r="U17" s="9" t="n">
        <f aca="false">U6-U7</f>
        <v>-25.034</v>
      </c>
      <c r="V17" s="10" t="n">
        <f aca="false">V6-V7</f>
        <v>121.584</v>
      </c>
      <c r="W17" s="10" t="n">
        <f aca="false">W6-W7</f>
        <v>157.78</v>
      </c>
      <c r="X17" s="10" t="n">
        <f aca="false">X6-X7</f>
        <v>0</v>
      </c>
      <c r="Y17" s="10" t="n">
        <f aca="false">Y6-Y7</f>
        <v>24.303</v>
      </c>
      <c r="Z17" s="10" t="n">
        <f aca="false">Z6-Z7</f>
        <v>-4.717</v>
      </c>
      <c r="AA17" s="10" t="n">
        <f aca="false">AA6-AA7</f>
        <v>-47.064</v>
      </c>
      <c r="AB17" s="10" t="n">
        <f aca="false">AB6-AB7</f>
        <v>0</v>
      </c>
      <c r="AC17" s="10" t="n">
        <f aca="false">AC6-AC7</f>
        <v>0.182</v>
      </c>
      <c r="AD17" s="11" t="n">
        <f aca="false">AD6-AD7</f>
        <v>1.267</v>
      </c>
      <c r="AF17" s="9" t="n">
        <f aca="false">AF6-AF7</f>
        <v>15.7490000000016</v>
      </c>
      <c r="AG17" s="10" t="n">
        <f aca="false">AG6-AG7</f>
        <v>105.148</v>
      </c>
      <c r="AH17" s="10" t="n">
        <f aca="false">AH6-AH7</f>
        <v>1422.881</v>
      </c>
      <c r="AI17" s="10" t="n">
        <f aca="false">AI6-AI7</f>
        <v>-1273.4</v>
      </c>
      <c r="AJ17" s="10" t="n">
        <f aca="false">AJ6-AJ7</f>
        <v>30.9569999999999</v>
      </c>
      <c r="AK17" s="10" t="n">
        <f aca="false">AK6-AK7</f>
        <v>83.8200000000002</v>
      </c>
      <c r="AL17" s="10" t="n">
        <f aca="false">AL6-AL7</f>
        <v>-38.657</v>
      </c>
      <c r="AM17" s="10" t="n">
        <f aca="false">AM6-AM7</f>
        <v>1.072</v>
      </c>
      <c r="AN17" s="10" t="n">
        <f aca="false">AN6-AN7</f>
        <v>-1.405</v>
      </c>
      <c r="AO17" s="11" t="n">
        <f aca="false">AO6-AO7</f>
        <v>7.84100000000001</v>
      </c>
    </row>
    <row r="18" customFormat="false" ht="15" hidden="false" customHeight="true" outlineLevel="0" collapsed="false">
      <c r="A18" s="2" t="s">
        <v>12</v>
      </c>
      <c r="B18" s="9" t="n">
        <v>2013</v>
      </c>
      <c r="C18" s="34" t="n">
        <f aca="false">C7-C8</f>
        <v>142.267000000003</v>
      </c>
      <c r="D18" s="34" t="n">
        <f aca="false">D7-D8</f>
        <v>-203.552000000001</v>
      </c>
      <c r="E18" s="34" t="n">
        <f aca="false">E7-E8</f>
        <v>100.724</v>
      </c>
      <c r="F18" s="35" t="n">
        <f aca="false">F7-F8</f>
        <v>39.4390000000058</v>
      </c>
      <c r="G18" s="0"/>
      <c r="H18" s="0"/>
      <c r="I18" s="0"/>
      <c r="J18" s="9" t="n">
        <f aca="false">J7-J8</f>
        <v>-266.82</v>
      </c>
      <c r="K18" s="10" t="n">
        <f aca="false">K7-K8</f>
        <v>-3.91000000000002</v>
      </c>
      <c r="L18" s="10" t="n">
        <f aca="false">L7-L8</f>
        <v>128.2</v>
      </c>
      <c r="M18" s="10" t="n">
        <f aca="false">M7-M8</f>
        <v>33.8000000000002</v>
      </c>
      <c r="N18" s="10" t="n">
        <f aca="false">N7-N8</f>
        <v>-6.50999999999999</v>
      </c>
      <c r="O18" s="10" t="n">
        <f aca="false">O7-O8</f>
        <v>284.41</v>
      </c>
      <c r="P18" s="10" t="n">
        <f aca="false">P7-P8</f>
        <v>9.04599999999999</v>
      </c>
      <c r="Q18" s="10" t="n">
        <f aca="false">Q7-Q8</f>
        <v>-23.947</v>
      </c>
      <c r="R18" s="10" t="n">
        <f aca="false">R7-R8</f>
        <v>-10.83</v>
      </c>
      <c r="S18" s="10" t="n">
        <f aca="false">S7-S8</f>
        <v>-1.17200000000003</v>
      </c>
      <c r="T18" s="11" t="n">
        <f aca="false">T7-T8</f>
        <v>0</v>
      </c>
      <c r="U18" s="9" t="n">
        <f aca="false">U7-U8</f>
        <v>-19.429</v>
      </c>
      <c r="V18" s="10" t="n">
        <f aca="false">V7-V8</f>
        <v>21.5600000000002</v>
      </c>
      <c r="W18" s="10" t="n">
        <f aca="false">W7-W8</f>
        <v>-179.181</v>
      </c>
      <c r="X18" s="10" t="n">
        <f aca="false">X7-X8</f>
        <v>0</v>
      </c>
      <c r="Y18" s="10" t="n">
        <f aca="false">Y7-Y8</f>
        <v>29</v>
      </c>
      <c r="Z18" s="10" t="n">
        <f aca="false">Z7-Z8</f>
        <v>-68.65</v>
      </c>
      <c r="AA18" s="10" t="n">
        <f aca="false">AA7-AA8</f>
        <v>16.4169999999999</v>
      </c>
      <c r="AB18" s="10" t="n">
        <f aca="false">AB7-AB8</f>
        <v>0</v>
      </c>
      <c r="AC18" s="10" t="n">
        <f aca="false">AC7-AC8</f>
        <v>-0.249000000000001</v>
      </c>
      <c r="AD18" s="11" t="n">
        <f aca="false">AD7-AD8</f>
        <v>-3.02</v>
      </c>
      <c r="AF18" s="9" t="n">
        <f aca="false">AF7-AF8</f>
        <v>-286.249</v>
      </c>
      <c r="AG18" s="10" t="n">
        <f aca="false">AG7-AG8</f>
        <v>17.6500000000001</v>
      </c>
      <c r="AH18" s="10" t="n">
        <f aca="false">AH7-AH8</f>
        <v>-50.9810000000007</v>
      </c>
      <c r="AI18" s="10" t="n">
        <f aca="false">AI7-AI8</f>
        <v>33.8000000000002</v>
      </c>
      <c r="AJ18" s="10" t="n">
        <f aca="false">AJ7-AJ8</f>
        <v>22.49</v>
      </c>
      <c r="AK18" s="10" t="n">
        <f aca="false">AK7-AK8</f>
        <v>215.76</v>
      </c>
      <c r="AL18" s="10" t="n">
        <f aca="false">AL7-AL8</f>
        <v>25.463</v>
      </c>
      <c r="AM18" s="10" t="n">
        <f aca="false">AM7-AM8</f>
        <v>-23.947</v>
      </c>
      <c r="AN18" s="10" t="n">
        <f aca="false">AN7-AN8</f>
        <v>-11.079</v>
      </c>
      <c r="AO18" s="11" t="n">
        <f aca="false">AO7-AO8</f>
        <v>-4.19200000000001</v>
      </c>
    </row>
    <row r="19" customFormat="false" ht="15" hidden="false" customHeight="true" outlineLevel="0" collapsed="false">
      <c r="A19" s="1" t="s">
        <v>13</v>
      </c>
      <c r="B19" s="9" t="n">
        <v>2012</v>
      </c>
      <c r="C19" s="34" t="n">
        <f aca="false">C8-C9</f>
        <v>210.082999999999</v>
      </c>
      <c r="D19" s="34" t="n">
        <f aca="false">D8-D9</f>
        <v>-16.5609999999997</v>
      </c>
      <c r="E19" s="34" t="n">
        <f aca="false">E8-E9</f>
        <v>254.046</v>
      </c>
      <c r="F19" s="35" t="n">
        <f aca="false">F8-F9</f>
        <v>447.567999999996</v>
      </c>
      <c r="G19" s="0"/>
      <c r="H19" s="0"/>
      <c r="I19" s="0"/>
      <c r="J19" s="9" t="n">
        <f aca="false">J8-J9</f>
        <v>657.259999999998</v>
      </c>
      <c r="K19" s="10" t="n">
        <f aca="false">K8-K9</f>
        <v>-23.75</v>
      </c>
      <c r="L19" s="10" t="n">
        <f aca="false">L8-L9</f>
        <v>24.7000000000003</v>
      </c>
      <c r="M19" s="10" t="n">
        <f aca="false">M8-M9</f>
        <v>2.29999999999995</v>
      </c>
      <c r="N19" s="10" t="n">
        <f aca="false">N8-N9</f>
        <v>-9.43999999999994</v>
      </c>
      <c r="O19" s="10" t="n">
        <f aca="false">O8-O9</f>
        <v>-263.16</v>
      </c>
      <c r="P19" s="10" t="n">
        <f aca="false">P8-P9</f>
        <v>-40.776</v>
      </c>
      <c r="Q19" s="10" t="n">
        <f aca="false">Q8-Q9</f>
        <v>-132.513</v>
      </c>
      <c r="R19" s="10" t="n">
        <f aca="false">R8-R9</f>
        <v>-5.99499999999999</v>
      </c>
      <c r="S19" s="10" t="n">
        <f aca="false">S8-S9</f>
        <v>1.45700000000002</v>
      </c>
      <c r="T19" s="11" t="n">
        <f aca="false">T8-T9</f>
        <v>0</v>
      </c>
      <c r="U19" s="9" t="n">
        <f aca="false">U8-U9</f>
        <v>2.28</v>
      </c>
      <c r="V19" s="10" t="n">
        <f aca="false">V8-V9</f>
        <v>92.3999999999999</v>
      </c>
      <c r="W19" s="10" t="n">
        <f aca="false">W8-W9</f>
        <v>-98.55</v>
      </c>
      <c r="X19" s="10" t="n">
        <f aca="false">X8-X9</f>
        <v>0</v>
      </c>
      <c r="Y19" s="10" t="n">
        <f aca="false">Y8-Y9</f>
        <v>8.60000000000002</v>
      </c>
      <c r="Z19" s="10" t="n">
        <f aca="false">Z8-Z9</f>
        <v>26.91</v>
      </c>
      <c r="AA19" s="10" t="n">
        <f aca="false">AA8-AA9</f>
        <v>-51.66</v>
      </c>
      <c r="AB19" s="10" t="n">
        <f aca="false">AB8-AB9</f>
        <v>0</v>
      </c>
      <c r="AC19" s="10" t="n">
        <f aca="false">AC8-AC9</f>
        <v>0.299</v>
      </c>
      <c r="AD19" s="11" t="n">
        <f aca="false">AD8-AD9</f>
        <v>3.16</v>
      </c>
      <c r="AF19" s="9" t="n">
        <f aca="false">AF8-AF9</f>
        <v>659.539999999999</v>
      </c>
      <c r="AG19" s="10" t="n">
        <f aca="false">AG8-AG9</f>
        <v>68.6500000000001</v>
      </c>
      <c r="AH19" s="10" t="n">
        <f aca="false">AH8-AH9</f>
        <v>-73.8499999999995</v>
      </c>
      <c r="AI19" s="10" t="n">
        <f aca="false">AI8-AI9</f>
        <v>2.29999999999995</v>
      </c>
      <c r="AJ19" s="10" t="n">
        <f aca="false">AJ8-AJ9</f>
        <v>-0.839999999999918</v>
      </c>
      <c r="AK19" s="10" t="n">
        <f aca="false">AK8-AK9</f>
        <v>-236.25</v>
      </c>
      <c r="AL19" s="10" t="n">
        <f aca="false">AL8-AL9</f>
        <v>-92.4359999999999</v>
      </c>
      <c r="AM19" s="10" t="n">
        <f aca="false">AM8-AM9</f>
        <v>-132.513</v>
      </c>
      <c r="AN19" s="10" t="n">
        <f aca="false">AN8-AN9</f>
        <v>-5.69599999999998</v>
      </c>
      <c r="AO19" s="11" t="n">
        <f aca="false">AO8-AO9</f>
        <v>4.61700000000002</v>
      </c>
    </row>
    <row r="20" customFormat="false" ht="15" hidden="false" customHeight="true" outlineLevel="0" collapsed="false">
      <c r="A20" s="1" t="s">
        <v>12</v>
      </c>
      <c r="B20" s="9" t="n">
        <v>2011</v>
      </c>
      <c r="C20" s="34" t="n">
        <f aca="false">C9-C10</f>
        <v>144.099999999999</v>
      </c>
      <c r="D20" s="34" t="n">
        <f aca="false">D9-D10</f>
        <v>276.800000000001</v>
      </c>
      <c r="E20" s="34" t="n">
        <f aca="false">E9-E10</f>
        <v>-19.1</v>
      </c>
      <c r="F20" s="35" t="n">
        <f aca="false">F9-F10</f>
        <v>401.800000000003</v>
      </c>
      <c r="G20" s="0"/>
      <c r="H20" s="0"/>
      <c r="I20" s="0"/>
      <c r="J20" s="9" t="n">
        <f aca="false">J9-J10</f>
        <v>162.9</v>
      </c>
      <c r="K20" s="10" t="n">
        <f aca="false">K9-K10</f>
        <v>-59.4</v>
      </c>
      <c r="L20" s="10" t="n">
        <f aca="false">L9-L10</f>
        <v>-81.1000000000004</v>
      </c>
      <c r="M20" s="10" t="n">
        <f aca="false">M9-M10</f>
        <v>6.29999999999995</v>
      </c>
      <c r="N20" s="10" t="n">
        <f aca="false">N9-N10</f>
        <v>24.5</v>
      </c>
      <c r="O20" s="10" t="n">
        <f aca="false">O9-O10</f>
        <v>128</v>
      </c>
      <c r="P20" s="10" t="n">
        <f aca="false">P9-P10</f>
        <v>-1.5</v>
      </c>
      <c r="Q20" s="10" t="n">
        <f aca="false">Q9-Q10</f>
        <v>-4.90000000000001</v>
      </c>
      <c r="R20" s="10" t="n">
        <f aca="false">R9-R10</f>
        <v>-25.2</v>
      </c>
      <c r="S20" s="10" t="n">
        <f aca="false">S9-S10</f>
        <v>-5.49999999999997</v>
      </c>
      <c r="T20" s="11" t="n">
        <f aca="false">T9-T10</f>
        <v>0</v>
      </c>
      <c r="U20" s="9" t="n">
        <f aca="false">U9-U10</f>
        <v>34.9</v>
      </c>
      <c r="V20" s="10" t="n">
        <f aca="false">V9-V10</f>
        <v>84.2000000000001</v>
      </c>
      <c r="W20" s="10" t="n">
        <f aca="false">W9-W10</f>
        <v>-16.2</v>
      </c>
      <c r="X20" s="10" t="n">
        <f aca="false">X9-X10</f>
        <v>0</v>
      </c>
      <c r="Y20" s="10" t="n">
        <f aca="false">Y9-Y10</f>
        <v>73.9</v>
      </c>
      <c r="Z20" s="10" t="n">
        <f aca="false">Z9-Z10</f>
        <v>-0.899999999999977</v>
      </c>
      <c r="AA20" s="10" t="n">
        <f aca="false">AA9-AA10</f>
        <v>106.2</v>
      </c>
      <c r="AB20" s="10" t="n">
        <f aca="false">AB9-AB10</f>
        <v>0</v>
      </c>
      <c r="AC20" s="10" t="n">
        <f aca="false">AC9-AC10</f>
        <v>-3.9</v>
      </c>
      <c r="AD20" s="11" t="n">
        <f aca="false">AD9-AD10</f>
        <v>-1.4</v>
      </c>
      <c r="AF20" s="9" t="n">
        <f aca="false">AF9-AF10</f>
        <v>197.799999999999</v>
      </c>
      <c r="AG20" s="10" t="n">
        <f aca="false">AG9-AG10</f>
        <v>24.8000000000002</v>
      </c>
      <c r="AH20" s="10" t="n">
        <f aca="false">AH9-AH10</f>
        <v>-97.3000000000002</v>
      </c>
      <c r="AI20" s="10" t="n">
        <f aca="false">AI9-AI10</f>
        <v>6.29999999999995</v>
      </c>
      <c r="AJ20" s="10" t="n">
        <f aca="false">AJ9-AJ10</f>
        <v>98.4000000000001</v>
      </c>
      <c r="AK20" s="10" t="n">
        <f aca="false">AK9-AK10</f>
        <v>127.1</v>
      </c>
      <c r="AL20" s="10" t="n">
        <f aca="false">AL9-AL10</f>
        <v>104.7</v>
      </c>
      <c r="AM20" s="10" t="n">
        <f aca="false">AM9-AM10</f>
        <v>-4.90000000000001</v>
      </c>
      <c r="AN20" s="10" t="n">
        <f aca="false">AN9-AN10</f>
        <v>-29.1</v>
      </c>
      <c r="AO20" s="11" t="n">
        <f aca="false">AO9-AO10</f>
        <v>-6.89999999999998</v>
      </c>
    </row>
    <row r="21" customFormat="false" ht="15" hidden="false" customHeight="true" outlineLevel="0" collapsed="false">
      <c r="A21" s="1" t="s">
        <v>12</v>
      </c>
      <c r="B21" s="9" t="n">
        <v>2010</v>
      </c>
      <c r="C21" s="34" t="n">
        <f aca="false">C10-C11</f>
        <v>508.900000000005</v>
      </c>
      <c r="D21" s="34" t="n">
        <f aca="false">D10-D11</f>
        <v>265.299999999998</v>
      </c>
      <c r="E21" s="34" t="n">
        <f aca="false">E10-E11</f>
        <v>-154.1</v>
      </c>
      <c r="F21" s="35" t="n">
        <f aca="false">F10-F11</f>
        <v>620.100000000002</v>
      </c>
      <c r="G21" s="0"/>
      <c r="H21" s="0"/>
      <c r="I21" s="0"/>
      <c r="J21" s="9" t="n">
        <f aca="false">J10-J11</f>
        <v>430.4</v>
      </c>
      <c r="K21" s="10" t="n">
        <f aca="false">K10-K11</f>
        <v>-85.3</v>
      </c>
      <c r="L21" s="10" t="n">
        <f aca="false">L10-L11</f>
        <v>225.8</v>
      </c>
      <c r="M21" s="10" t="n">
        <f aca="false">M10-M11</f>
        <v>7.09999999999991</v>
      </c>
      <c r="N21" s="10" t="n">
        <f aca="false">N10-N11</f>
        <v>2.10000000000002</v>
      </c>
      <c r="O21" s="10" t="n">
        <f aca="false">O10-O11</f>
        <v>-24.3</v>
      </c>
      <c r="P21" s="10" t="n">
        <f aca="false">P10-P11</f>
        <v>6</v>
      </c>
      <c r="Q21" s="10" t="n">
        <f aca="false">Q10-Q11</f>
        <v>-6.40000000000001</v>
      </c>
      <c r="R21" s="10" t="n">
        <f aca="false">R10-R11</f>
        <v>-5.79999999999998</v>
      </c>
      <c r="S21" s="10" t="n">
        <f aca="false">S10-S11</f>
        <v>10.3</v>
      </c>
      <c r="T21" s="11" t="n">
        <f aca="false">T10-T11</f>
        <v>-51</v>
      </c>
      <c r="U21" s="9" t="n">
        <f aca="false">U10-U11</f>
        <v>-10</v>
      </c>
      <c r="V21" s="10" t="n">
        <f aca="false">V10-V11</f>
        <v>155.1</v>
      </c>
      <c r="W21" s="10" t="n">
        <f aca="false">W10-W11</f>
        <v>-89.3</v>
      </c>
      <c r="X21" s="10" t="n">
        <f aca="false">X10-X11</f>
        <v>0</v>
      </c>
      <c r="Y21" s="10" t="n">
        <f aca="false">Y10-Y11</f>
        <v>6</v>
      </c>
      <c r="Z21" s="10" t="n">
        <f aca="false">Z10-Z11</f>
        <v>53</v>
      </c>
      <c r="AA21" s="10" t="n">
        <f aca="false">AA10-AA11</f>
        <v>149</v>
      </c>
      <c r="AB21" s="10" t="n">
        <f aca="false">AB10-AB11</f>
        <v>0</v>
      </c>
      <c r="AC21" s="10" t="n">
        <f aca="false">AC10-AC11</f>
        <v>1.8</v>
      </c>
      <c r="AD21" s="11" t="n">
        <f aca="false">AD10-AD11</f>
        <v>-0.299999999999997</v>
      </c>
      <c r="AF21" s="9" t="n">
        <f aca="false">AF10-AF11</f>
        <v>420.4</v>
      </c>
      <c r="AG21" s="10" t="n">
        <f aca="false">AG10-AG11</f>
        <v>69.7999999999997</v>
      </c>
      <c r="AH21" s="10" t="n">
        <f aca="false">AH10-AH11</f>
        <v>136.5</v>
      </c>
      <c r="AI21" s="10" t="n">
        <f aca="false">AI10-AI11</f>
        <v>7.09999999999991</v>
      </c>
      <c r="AJ21" s="10" t="n">
        <f aca="false">AJ10-AJ11</f>
        <v>8.09999999999991</v>
      </c>
      <c r="AK21" s="10" t="n">
        <f aca="false">AK10-AK11</f>
        <v>28.7</v>
      </c>
      <c r="AL21" s="10" t="n">
        <f aca="false">AL10-AL11</f>
        <v>155</v>
      </c>
      <c r="AM21" s="10" t="n">
        <f aca="false">AM10-AM11</f>
        <v>-6.40000000000001</v>
      </c>
      <c r="AN21" s="10" t="n">
        <f aca="false">AN10-AN11</f>
        <v>-3.99999999999997</v>
      </c>
      <c r="AO21" s="11" t="n">
        <f aca="false">AO10-AO11</f>
        <v>10</v>
      </c>
    </row>
    <row r="22" customFormat="false" ht="15" hidden="false" customHeight="true" outlineLevel="0" collapsed="false">
      <c r="A22" s="1" t="s">
        <v>12</v>
      </c>
      <c r="B22" s="9" t="n">
        <v>2009</v>
      </c>
      <c r="C22" s="34" t="n">
        <f aca="false">C11-C12</f>
        <v>249.949999999997</v>
      </c>
      <c r="D22" s="34" t="n">
        <f aca="false">D11-D12</f>
        <v>1161.7</v>
      </c>
      <c r="E22" s="34" t="n">
        <f aca="false">E11-E12</f>
        <v>170</v>
      </c>
      <c r="F22" s="35" t="n">
        <f aca="false">F11-F12</f>
        <v>1581.65</v>
      </c>
      <c r="G22" s="0"/>
      <c r="H22" s="0"/>
      <c r="I22" s="0"/>
      <c r="J22" s="9" t="n">
        <f aca="false">J11-J12</f>
        <v>460</v>
      </c>
      <c r="K22" s="10" t="n">
        <f aca="false">K11-K12</f>
        <v>39</v>
      </c>
      <c r="L22" s="10" t="n">
        <f aca="false">L11-L12</f>
        <v>-674.3</v>
      </c>
      <c r="M22" s="10" t="n">
        <f aca="false">M11-M12</f>
        <v>14.9000000000001</v>
      </c>
      <c r="N22" s="10" t="n">
        <f aca="false">N11-N12</f>
        <v>27.5999999999999</v>
      </c>
      <c r="O22" s="10" t="n">
        <f aca="false">O11-O12</f>
        <v>290.5</v>
      </c>
      <c r="P22" s="10" t="n">
        <f aca="false">P11-P12</f>
        <v>15.2</v>
      </c>
      <c r="Q22" s="10" t="n">
        <f aca="false">Q11-Q12</f>
        <v>5</v>
      </c>
      <c r="R22" s="10" t="n">
        <f aca="false">R11-R12</f>
        <v>13.1</v>
      </c>
      <c r="S22" s="10" t="n">
        <f aca="false">S11-S12</f>
        <v>7.95000000000002</v>
      </c>
      <c r="T22" s="11" t="n">
        <f aca="false">T11-T12</f>
        <v>51</v>
      </c>
      <c r="U22" s="9" t="n">
        <f aca="false">U11-U12</f>
        <v>4.7</v>
      </c>
      <c r="V22" s="10" t="n">
        <f aca="false">V11-V12</f>
        <v>94.1000000000001</v>
      </c>
      <c r="W22" s="10" t="n">
        <f aca="false">W11-W12</f>
        <v>885.5</v>
      </c>
      <c r="X22" s="10" t="n">
        <f aca="false">X11-X12</f>
        <v>0</v>
      </c>
      <c r="Y22" s="10" t="n">
        <f aca="false">Y11-Y12</f>
        <v>4.30000000000007</v>
      </c>
      <c r="Z22" s="10" t="n">
        <f aca="false">Z11-Z12</f>
        <v>-15.3</v>
      </c>
      <c r="AA22" s="10" t="n">
        <f aca="false">AA11-AA12</f>
        <v>178.6</v>
      </c>
      <c r="AB22" s="10" t="n">
        <f aca="false">AB11-AB12</f>
        <v>0</v>
      </c>
      <c r="AC22" s="10" t="n">
        <f aca="false">AC11-AC12</f>
        <v>0.5</v>
      </c>
      <c r="AD22" s="11" t="n">
        <f aca="false">AD11-AD12</f>
        <v>9.3</v>
      </c>
      <c r="AF22" s="9" t="n">
        <f aca="false">AF11-AF12</f>
        <v>464.700000000001</v>
      </c>
      <c r="AG22" s="10" t="n">
        <f aca="false">AG11-AG12</f>
        <v>133.1</v>
      </c>
      <c r="AH22" s="10" t="n">
        <f aca="false">AH11-AH12</f>
        <v>211.2</v>
      </c>
      <c r="AI22" s="10" t="n">
        <f aca="false">AI11-AI12</f>
        <v>14.9000000000001</v>
      </c>
      <c r="AJ22" s="10" t="n">
        <f aca="false">AJ11-AJ12</f>
        <v>31.9000000000001</v>
      </c>
      <c r="AK22" s="10" t="n">
        <f aca="false">AK11-AK12</f>
        <v>275.2</v>
      </c>
      <c r="AL22" s="10" t="n">
        <f aca="false">AL11-AL12</f>
        <v>193.8</v>
      </c>
      <c r="AM22" s="10" t="n">
        <f aca="false">AM11-AM12</f>
        <v>5</v>
      </c>
      <c r="AN22" s="10" t="n">
        <f aca="false">AN11-AN12</f>
        <v>13.6</v>
      </c>
      <c r="AO22" s="11" t="n">
        <f aca="false">AO11-AO12</f>
        <v>17.25</v>
      </c>
    </row>
    <row r="23" customFormat="false" ht="15.75" hidden="false" customHeight="true" outlineLevel="0" collapsed="false">
      <c r="A23" s="1" t="s">
        <v>12</v>
      </c>
      <c r="B23" s="22" t="n">
        <v>2008</v>
      </c>
      <c r="C23" s="36" t="n">
        <f aca="false">C12-C13</f>
        <v>1741.359</v>
      </c>
      <c r="D23" s="36" t="n">
        <f aca="false">D12-D13</f>
        <v>-254.157</v>
      </c>
      <c r="E23" s="36" t="n">
        <f aca="false">E12-E13</f>
        <v>32.714</v>
      </c>
      <c r="F23" s="37" t="n">
        <f aca="false">F12-F13</f>
        <v>1519.916</v>
      </c>
      <c r="G23" s="0"/>
      <c r="H23" s="0"/>
      <c r="I23" s="0"/>
      <c r="J23" s="22" t="n">
        <f aca="false">J12-J13</f>
        <v>577.941000000001</v>
      </c>
      <c r="K23" s="28" t="n">
        <f aca="false">K12-K13</f>
        <v>46.917</v>
      </c>
      <c r="L23" s="28" t="n">
        <f aca="false">L12-L13</f>
        <v>1037.209</v>
      </c>
      <c r="M23" s="28" t="n">
        <f aca="false">M12-M13</f>
        <v>83.5340000000001</v>
      </c>
      <c r="N23" s="28" t="n">
        <f aca="false">N12-N13</f>
        <v>-8.35799999999995</v>
      </c>
      <c r="O23" s="28" t="n">
        <f aca="false">O12-O13</f>
        <v>55.5540000000001</v>
      </c>
      <c r="P23" s="28" t="n">
        <f aca="false">P12-P13</f>
        <v>-60.448</v>
      </c>
      <c r="Q23" s="28" t="n">
        <f aca="false">Q12-Q13</f>
        <v>-1.184</v>
      </c>
      <c r="R23" s="28" t="n">
        <f aca="false">R12-R13</f>
        <v>-4.81200000000001</v>
      </c>
      <c r="S23" s="28" t="n">
        <f aca="false">S12-S13</f>
        <v>15.006</v>
      </c>
      <c r="T23" s="29" t="n">
        <f aca="false">T12-T13</f>
        <v>0</v>
      </c>
      <c r="U23" s="22" t="n">
        <f aca="false">U12-U13</f>
        <v>11.528</v>
      </c>
      <c r="V23" s="28" t="n">
        <f aca="false">V12-V13</f>
        <v>33.172</v>
      </c>
      <c r="W23" s="28" t="n">
        <f aca="false">W12-W13</f>
        <v>107.124</v>
      </c>
      <c r="X23" s="28" t="n">
        <f aca="false">X12-X13</f>
        <v>0</v>
      </c>
      <c r="Y23" s="28" t="n">
        <f aca="false">Y12-Y13</f>
        <v>-1.02300000000002</v>
      </c>
      <c r="Z23" s="28" t="n">
        <f aca="false">Z12-Z13</f>
        <v>15.797</v>
      </c>
      <c r="AA23" s="28" t="n">
        <f aca="false">AA12-AA13</f>
        <v>-415.719</v>
      </c>
      <c r="AB23" s="28" t="n">
        <f aca="false">AB12-AB13</f>
        <v>0</v>
      </c>
      <c r="AC23" s="28" t="n">
        <f aca="false">AC12-AC13</f>
        <v>-0.211</v>
      </c>
      <c r="AD23" s="29" t="n">
        <f aca="false">AD12-AD13</f>
        <v>-4.825</v>
      </c>
      <c r="AF23" s="22" t="n">
        <f aca="false">AF12-AF13</f>
        <v>589.468999999999</v>
      </c>
      <c r="AG23" s="28" t="n">
        <f aca="false">AG12-AG13</f>
        <v>80.0890000000002</v>
      </c>
      <c r="AH23" s="28" t="n">
        <f aca="false">AH12-AH13</f>
        <v>1144.333</v>
      </c>
      <c r="AI23" s="28" t="n">
        <f aca="false">AI12-AI13</f>
        <v>83.5340000000001</v>
      </c>
      <c r="AJ23" s="28" t="n">
        <f aca="false">AJ12-AJ13</f>
        <v>-9.38100000000009</v>
      </c>
      <c r="AK23" s="28" t="n">
        <f aca="false">AK12-AK13</f>
        <v>71.3510000000001</v>
      </c>
      <c r="AL23" s="28" t="n">
        <f aca="false">AL12-AL13</f>
        <v>-476.167</v>
      </c>
      <c r="AM23" s="28" t="n">
        <f aca="false">AM12-AM13</f>
        <v>-1.184</v>
      </c>
      <c r="AN23" s="28" t="n">
        <f aca="false">AN12-AN13</f>
        <v>-5.02300000000002</v>
      </c>
      <c r="AO23" s="29" t="n">
        <f aca="false">AO12-AO13</f>
        <v>10.181</v>
      </c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F24" s="0"/>
      <c r="AG24" s="0"/>
      <c r="AH24" s="0"/>
      <c r="AI24" s="0"/>
      <c r="AJ24" s="0"/>
      <c r="AK24" s="0"/>
      <c r="AL24" s="0"/>
      <c r="AM24" s="0"/>
      <c r="AN24" s="0"/>
      <c r="AO24" s="0"/>
    </row>
    <row r="25" customFormat="false" ht="15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F25" s="0"/>
      <c r="AG25" s="0"/>
      <c r="AH25" s="0"/>
      <c r="AI25" s="0"/>
      <c r="AJ25" s="0"/>
      <c r="AK25" s="0"/>
      <c r="AL25" s="0"/>
      <c r="AM25" s="0"/>
      <c r="AN25" s="0"/>
      <c r="AO25" s="0"/>
    </row>
    <row r="26" customFormat="false" ht="15" hidden="false" customHeight="true" outlineLevel="0" collapsed="false">
      <c r="A26" s="0"/>
      <c r="B26" s="2" t="s">
        <v>16</v>
      </c>
      <c r="C26" s="1" t="n">
        <f aca="false">SUM(C16:C23)</f>
        <v>3244.65</v>
      </c>
      <c r="D26" s="1" t="n">
        <f aca="false">SUM(D16:D23)</f>
        <v>1363.624</v>
      </c>
      <c r="E26" s="1" t="n">
        <f aca="false">SUM(E16:E23)</f>
        <v>204.578</v>
      </c>
      <c r="F26" s="1" t="n">
        <f aca="false">SUM(F16:F23)</f>
        <v>4812.852</v>
      </c>
      <c r="G26" s="0"/>
      <c r="H26" s="0"/>
      <c r="I26" s="0"/>
      <c r="J26" s="1" t="n">
        <f aca="false">SUM(J16:J23)</f>
        <v>2133.393</v>
      </c>
      <c r="K26" s="1" t="n">
        <f aca="false">SUM(K16:K23)</f>
        <v>-95.421</v>
      </c>
      <c r="L26" s="1" t="n">
        <f aca="false">SUM(L16:L23)</f>
        <v>1923.639</v>
      </c>
      <c r="M26" s="1" t="n">
        <f aca="false">SUM(M16:M23)</f>
        <v>-1125.466</v>
      </c>
      <c r="N26" s="1" t="n">
        <f aca="false">SUM(N16:N23)</f>
        <v>36.546</v>
      </c>
      <c r="O26" s="1" t="n">
        <f aca="false">SUM(O16:O23)</f>
        <v>584.517</v>
      </c>
      <c r="P26" s="1" t="n">
        <f aca="false">SUM(P16:P23)</f>
        <v>-51.24</v>
      </c>
      <c r="Q26" s="1" t="n">
        <f aca="false">SUM(Q16:Q23)</f>
        <v>-162.866</v>
      </c>
      <c r="R26" s="1" t="n">
        <f aca="false">SUM(R16:R23)</f>
        <v>-41.124</v>
      </c>
      <c r="S26" s="1" t="n">
        <f aca="false">SUM(S16:S23)</f>
        <v>42.6720000000001</v>
      </c>
      <c r="T26" s="1" t="n">
        <f aca="false">SUM(T16:T23)</f>
        <v>0</v>
      </c>
      <c r="U26" s="1" t="n">
        <f aca="false">SUM(U16:U23)</f>
        <v>2.315</v>
      </c>
      <c r="V26" s="1" t="n">
        <f aca="false">SUM(V16:V23)</f>
        <v>634.515000000001</v>
      </c>
      <c r="W26" s="1" t="n">
        <f aca="false">SUM(W16:W23)</f>
        <v>746.033</v>
      </c>
      <c r="X26" s="1" t="n">
        <f aca="false">SUM(X16:X23)</f>
        <v>0</v>
      </c>
      <c r="Y26" s="1" t="n">
        <f aca="false">SUM(Y16:Y23)</f>
        <v>150.473</v>
      </c>
      <c r="Z26" s="1" t="n">
        <f aca="false">SUM(Z16:Z23)</f>
        <v>-6.20099999999998</v>
      </c>
      <c r="AA26" s="1" t="n">
        <f aca="false">SUM(AA16:AA23)</f>
        <v>-168.62</v>
      </c>
      <c r="AB26" s="1" t="n">
        <f aca="false">SUM(AB16:AB23)</f>
        <v>0</v>
      </c>
      <c r="AC26" s="1" t="n">
        <f aca="false">SUM(AC16:AC23)</f>
        <v>-1.579</v>
      </c>
      <c r="AD26" s="1" t="n">
        <f aca="false">SUM(AD16:AD23)</f>
        <v>6.688</v>
      </c>
      <c r="AF26" s="1" t="n">
        <f aca="false">SUM(AF18:AF23)</f>
        <v>2045.66</v>
      </c>
      <c r="AG26" s="1" t="n">
        <f aca="false">SUM(AG18:AG23)</f>
        <v>394.089</v>
      </c>
      <c r="AH26" s="1" t="n">
        <f aca="false">SUM(AH18:AH23)</f>
        <v>1269.902</v>
      </c>
      <c r="AI26" s="1" t="n">
        <f aca="false">SUM(AI18:AI23)</f>
        <v>147.934</v>
      </c>
      <c r="AJ26" s="1" t="n">
        <f aca="false">SUM(AJ18:AJ23)</f>
        <v>150.669</v>
      </c>
      <c r="AK26" s="1" t="n">
        <f aca="false">SUM(AK18:AK23)</f>
        <v>481.861</v>
      </c>
      <c r="AL26" s="1" t="n">
        <f aca="false">SUM(AL18:AL23)</f>
        <v>-89.6399999999999</v>
      </c>
      <c r="AM26" s="1" t="n">
        <f aca="false">SUM(AM18:AM23)</f>
        <v>-163.944</v>
      </c>
      <c r="AN26" s="1" t="n">
        <f aca="false">SUM(AN18:AN23)</f>
        <v>-41.298</v>
      </c>
      <c r="AO26" s="1" t="n">
        <f aca="false">SUM(AO18:AO23)</f>
        <v>30.956</v>
      </c>
    </row>
    <row r="27" customFormat="false" ht="15" hidden="false" customHeight="fals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F27" s="0"/>
      <c r="AG27" s="0"/>
      <c r="AH27" s="0"/>
      <c r="AI27" s="0"/>
      <c r="AJ27" s="0"/>
      <c r="AK27" s="0"/>
      <c r="AL27" s="0"/>
      <c r="AM27" s="0"/>
      <c r="AN27" s="0"/>
      <c r="AO27" s="0"/>
    </row>
    <row r="28" customFormat="false" ht="15.75" hidden="false" customHeight="true" outlineLevel="0" collapsed="false">
      <c r="A28" s="2" t="s">
        <v>17</v>
      </c>
      <c r="B28" s="1" t="s">
        <v>4</v>
      </c>
      <c r="C28" s="1" t="s">
        <v>5</v>
      </c>
      <c r="D28" s="1" t="s">
        <v>6</v>
      </c>
      <c r="E28" s="1" t="s">
        <v>7</v>
      </c>
      <c r="F28" s="0"/>
      <c r="G28" s="0"/>
      <c r="H28" s="1" t="s">
        <v>18</v>
      </c>
      <c r="I28" s="2" t="s">
        <v>19</v>
      </c>
      <c r="J28" s="38" t="n">
        <v>150</v>
      </c>
      <c r="K28" s="38" t="n">
        <v>231</v>
      </c>
      <c r="L28" s="38" t="n">
        <v>172</v>
      </c>
      <c r="M28" s="38" t="n">
        <v>187</v>
      </c>
      <c r="N28" s="38" t="n">
        <v>193</v>
      </c>
      <c r="O28" s="38" t="n">
        <v>190</v>
      </c>
      <c r="P28" s="38" t="n">
        <v>192</v>
      </c>
      <c r="Q28" s="38" t="n">
        <v>191</v>
      </c>
      <c r="R28" s="38" t="n">
        <v>186</v>
      </c>
      <c r="S28" s="38" t="n">
        <v>142</v>
      </c>
      <c r="T28" s="38" t="s">
        <v>9</v>
      </c>
      <c r="U28" s="38" t="n">
        <v>150</v>
      </c>
      <c r="V28" s="38" t="n">
        <v>231</v>
      </c>
      <c r="W28" s="38" t="n">
        <v>172</v>
      </c>
      <c r="X28" s="38" t="n">
        <v>187</v>
      </c>
      <c r="Y28" s="38" t="n">
        <v>193</v>
      </c>
      <c r="Z28" s="38" t="n">
        <v>190</v>
      </c>
      <c r="AA28" s="38" t="n">
        <v>192</v>
      </c>
      <c r="AB28" s="38" t="n">
        <v>191</v>
      </c>
      <c r="AC28" s="38" t="n">
        <v>186</v>
      </c>
      <c r="AD28" s="38" t="n">
        <v>142</v>
      </c>
      <c r="AF28" s="38" t="n">
        <v>150</v>
      </c>
      <c r="AG28" s="38" t="n">
        <v>231</v>
      </c>
      <c r="AH28" s="38" t="n">
        <v>172</v>
      </c>
      <c r="AI28" s="38" t="n">
        <v>187</v>
      </c>
      <c r="AJ28" s="38" t="n">
        <v>193</v>
      </c>
      <c r="AK28" s="38" t="n">
        <v>190</v>
      </c>
      <c r="AL28" s="38" t="n">
        <v>192</v>
      </c>
      <c r="AM28" s="38" t="n">
        <v>191</v>
      </c>
      <c r="AN28" s="38" t="n">
        <v>186</v>
      </c>
      <c r="AO28" s="38" t="n">
        <v>142</v>
      </c>
    </row>
    <row r="29" customFormat="false" ht="15" hidden="false" customHeight="true" outlineLevel="0" collapsed="false">
      <c r="A29" s="2" t="s">
        <v>10</v>
      </c>
      <c r="B29" s="6" t="n">
        <v>2015</v>
      </c>
      <c r="C29" s="39" t="n">
        <f aca="false">C16/C6</f>
        <v>0.00597486020622224</v>
      </c>
      <c r="D29" s="39" t="n">
        <f aca="false">D16/D6</f>
        <v>-0.019420968304531</v>
      </c>
      <c r="E29" s="39" t="n">
        <f aca="false">E16/E6</f>
        <v>-0.0399792950753124</v>
      </c>
      <c r="F29" s="40" t="n">
        <f aca="false">F16/F6</f>
        <v>0.000213510261706476</v>
      </c>
      <c r="G29" s="0"/>
      <c r="H29" s="0"/>
      <c r="I29" s="0"/>
      <c r="J29" s="41" t="n">
        <f aca="false">J16/J6</f>
        <v>0.00575758714652702</v>
      </c>
      <c r="K29" s="39" t="n">
        <f aca="false">K16/K6</f>
        <v>0.023364368867558</v>
      </c>
      <c r="L29" s="39" t="n">
        <f aca="false">L16/L6</f>
        <v>-0.000373812207443672</v>
      </c>
      <c r="M29" s="39" t="e">
        <f aca="false">M16/M6</f>
        <v>#DIV/0!</v>
      </c>
      <c r="N29" s="39" t="n">
        <f aca="false">N16/N6</f>
        <v>0</v>
      </c>
      <c r="O29" s="39" t="n">
        <f aca="false">O16/O6</f>
        <v>0.0196230791169299</v>
      </c>
      <c r="P29" s="39" t="n">
        <f aca="false">P16/P6</f>
        <v>0.0407363077304058</v>
      </c>
      <c r="Q29" s="39" t="n">
        <f aca="false">Q16/Q6</f>
        <v>0.000180115273775223</v>
      </c>
      <c r="R29" s="39" t="n">
        <f aca="false">R16/R6</f>
        <v>0</v>
      </c>
      <c r="S29" s="39" t="n">
        <f aca="false">S16/S6</f>
        <v>0.0311370812222957</v>
      </c>
      <c r="T29" s="40" t="e">
        <f aca="false">T16/T6</f>
        <v>#DIV/0!</v>
      </c>
      <c r="U29" s="41" t="n">
        <f aca="false">U16/U6</f>
        <v>0.0357684918857531</v>
      </c>
      <c r="V29" s="39" t="n">
        <f aca="false">V16/V6</f>
        <v>0.0159542512497883</v>
      </c>
      <c r="W29" s="39" t="n">
        <f aca="false">W16/W6</f>
        <v>-0.0199707335229639</v>
      </c>
      <c r="X29" s="39" t="e">
        <f aca="false">X16/X6</f>
        <v>#DIV/0!</v>
      </c>
      <c r="Y29" s="39" t="n">
        <f aca="false">Y16/Y6</f>
        <v>0.00631496610667634</v>
      </c>
      <c r="Z29" s="39" t="n">
        <f aca="false">Z16/Z6</f>
        <v>-0.130120304081482</v>
      </c>
      <c r="AA29" s="39" t="n">
        <f aca="false">AA16/AA6</f>
        <v>-0.155999838611581</v>
      </c>
      <c r="AB29" s="39" t="e">
        <f aca="false">AB16/AB6</f>
        <v>#DIV/0!</v>
      </c>
      <c r="AC29" s="39" t="n">
        <f aca="false">AC16/AC6</f>
        <v>0</v>
      </c>
      <c r="AD29" s="40" t="n">
        <f aca="false">AD16/AD6</f>
        <v>0.0556802275201635</v>
      </c>
      <c r="AF29" s="41" t="n">
        <f aca="false">AF16/AF6</f>
        <v>0.0059853674726747</v>
      </c>
      <c r="AG29" s="39" t="n">
        <f aca="false">AG16/AG6</f>
        <v>0.0169608008347419</v>
      </c>
      <c r="AH29" s="39" t="n">
        <f aca="false">AH16/AH6</f>
        <v>-0.00365030602171779</v>
      </c>
      <c r="AI29" s="39" t="e">
        <f aca="false">AI16/AI6</f>
        <v>#DIV/0!</v>
      </c>
      <c r="AJ29" s="39" t="n">
        <f aca="false">AJ16/AJ6</f>
        <v>0.00377368524540152</v>
      </c>
      <c r="AK29" s="39" t="n">
        <f aca="false">AK16/AK6</f>
        <v>0.00923860985792924</v>
      </c>
      <c r="AL29" s="39" t="n">
        <f aca="false">AL16/AL6</f>
        <v>-0.0930357560177612</v>
      </c>
      <c r="AM29" s="39" t="n">
        <f aca="false">AM16/AM6</f>
        <v>0.000180115273775223</v>
      </c>
      <c r="AN29" s="39" t="n">
        <f aca="false">AN16/AN6</f>
        <v>0</v>
      </c>
      <c r="AO29" s="40" t="n">
        <f aca="false">AO16/AO6</f>
        <v>0.0347734769526543</v>
      </c>
    </row>
    <row r="30" customFormat="false" ht="15" hidden="false" customHeight="true" outlineLevel="0" collapsed="false">
      <c r="A30" s="2" t="s">
        <v>11</v>
      </c>
      <c r="B30" s="9" t="n">
        <v>2014</v>
      </c>
      <c r="C30" s="42" t="n">
        <f aca="false">C17/C7</f>
        <v>0.00617986780426745</v>
      </c>
      <c r="D30" s="42" t="n">
        <f aca="false">D17/D7</f>
        <v>0.0493892140745879</v>
      </c>
      <c r="E30" s="42" t="n">
        <f aca="false">E17/E7</f>
        <v>-0.217883732860094</v>
      </c>
      <c r="F30" s="43" t="n">
        <f aca="false">F17/F7</f>
        <v>0.00766418061852643</v>
      </c>
      <c r="G30" s="0"/>
      <c r="H30" s="1" t="n">
        <v>0.5</v>
      </c>
      <c r="I30" s="1" t="n">
        <v>0.4</v>
      </c>
      <c r="J30" s="44" t="n">
        <f aca="false">J17/J7</f>
        <v>0.00332151315639456</v>
      </c>
      <c r="K30" s="42" t="n">
        <f aca="false">K17/K7</f>
        <v>-0.0489691335955189</v>
      </c>
      <c r="L30" s="42" t="n">
        <f aca="false">L17/L7</f>
        <v>0.315675466613434</v>
      </c>
      <c r="M30" s="42" t="n">
        <f aca="false">M17/M7</f>
        <v>-1</v>
      </c>
      <c r="N30" s="42" t="n">
        <f aca="false">N17/N7</f>
        <v>0.0117055149969214</v>
      </c>
      <c r="O30" s="42" t="n">
        <f aca="false">O17/O7</f>
        <v>0.0747620857082542</v>
      </c>
      <c r="P30" s="42" t="n">
        <f aca="false">P17/P7</f>
        <v>0.0274227745702449</v>
      </c>
      <c r="Q30" s="42" t="n">
        <f aca="false">Q17/Q7</f>
        <v>0.0332506203473944</v>
      </c>
      <c r="R30" s="42" t="n">
        <f aca="false">R17/R7</f>
        <v>-0.0155169885113664</v>
      </c>
      <c r="S30" s="42" t="n">
        <f aca="false">S17/S7</f>
        <v>0.0260681642445031</v>
      </c>
      <c r="T30" s="43" t="e">
        <f aca="false">T17/T7</f>
        <v>#DIV/0!</v>
      </c>
      <c r="U30" s="44" t="n">
        <f aca="false">U17/U7</f>
        <v>-0.209926960780203</v>
      </c>
      <c r="V30" s="42" t="n">
        <f aca="false">V17/V7</f>
        <v>0.0636845523685809</v>
      </c>
      <c r="W30" s="42" t="n">
        <f aca="false">W17/W7</f>
        <v>0.175161445387219</v>
      </c>
      <c r="X30" s="42" t="e">
        <f aca="false">X17/X7</f>
        <v>#DIV/0!</v>
      </c>
      <c r="Y30" s="42" t="n">
        <f aca="false">Y17/Y7</f>
        <v>0.0292913101120887</v>
      </c>
      <c r="Z30" s="42" t="n">
        <f aca="false">Z17/Z7</f>
        <v>-0.0473784652470872</v>
      </c>
      <c r="AA30" s="42" t="n">
        <f aca="false">AA17/AA7</f>
        <v>-0.0657082583486095</v>
      </c>
      <c r="AB30" s="42" t="e">
        <f aca="false">AB17/AB7</f>
        <v>#DIV/0!</v>
      </c>
      <c r="AC30" s="42" t="n">
        <f aca="false">AC17/AC7</f>
        <v>0.0449382716049384</v>
      </c>
      <c r="AD30" s="43" t="n">
        <f aca="false">AD17/AD7</f>
        <v>0.0289666209419295</v>
      </c>
      <c r="AF30" s="44" t="n">
        <f aca="false">AF17/AF7</f>
        <v>0.00127031719051569</v>
      </c>
      <c r="AG30" s="42" t="n">
        <f aca="false">AG17/AG7</f>
        <v>0.0468406985032073</v>
      </c>
      <c r="AH30" s="42" t="n">
        <f aca="false">AH17/AH7</f>
        <v>0.28988875938219</v>
      </c>
      <c r="AI30" s="42" t="n">
        <f aca="false">AI17/AI7</f>
        <v>-1</v>
      </c>
      <c r="AJ30" s="42" t="n">
        <f aca="false">AJ17/AJ7</f>
        <v>0.022141401137217</v>
      </c>
      <c r="AK30" s="42" t="n">
        <f aca="false">AK17/AK7</f>
        <v>0.0652900351298091</v>
      </c>
      <c r="AL30" s="42" t="n">
        <f aca="false">AL17/AL7</f>
        <v>-0.0377942701942753</v>
      </c>
      <c r="AM30" s="42" t="n">
        <f aca="false">AM17/AM7</f>
        <v>0.0332506203473944</v>
      </c>
      <c r="AN30" s="42" t="n">
        <f aca="false">AN17/AN7</f>
        <v>-0.0132142017399483</v>
      </c>
      <c r="AO30" s="43" t="n">
        <f aca="false">AO17/AO7</f>
        <v>0.0264965785249641</v>
      </c>
    </row>
    <row r="31" customFormat="false" ht="15" hidden="false" customHeight="true" outlineLevel="0" collapsed="false">
      <c r="A31" s="2" t="s">
        <v>12</v>
      </c>
      <c r="B31" s="9" t="n">
        <v>2013</v>
      </c>
      <c r="C31" s="42" t="n">
        <f aca="false">C18/C8</f>
        <v>0.00704334513618981</v>
      </c>
      <c r="D31" s="42" t="n">
        <f aca="false">D18/D8</f>
        <v>-0.0421778605601821</v>
      </c>
      <c r="E31" s="42" t="n">
        <f aca="false">E18/E8</f>
        <v>0.162315122488905</v>
      </c>
      <c r="F31" s="43" t="n">
        <f aca="false">F18/F8</f>
        <v>0.00153786056023863</v>
      </c>
      <c r="G31" s="0"/>
      <c r="H31" s="1" t="n">
        <v>0.9</v>
      </c>
      <c r="I31" s="1" t="n">
        <v>0.3</v>
      </c>
      <c r="J31" s="44" t="n">
        <f aca="false">J18/J8</f>
        <v>-0.0212685906868411</v>
      </c>
      <c r="K31" s="42" t="n">
        <f aca="false">K18/K8</f>
        <v>-0.0115152407598293</v>
      </c>
      <c r="L31" s="42" t="n">
        <f aca="false">L18/L8</f>
        <v>0.0330463473733051</v>
      </c>
      <c r="M31" s="42" t="n">
        <f aca="false">M18/M8</f>
        <v>0.027266860277509</v>
      </c>
      <c r="N31" s="42" t="n">
        <f aca="false">N18/N8</f>
        <v>-0.0113225267844719</v>
      </c>
      <c r="O31" s="42" t="n">
        <f aca="false">O18/O8</f>
        <v>0.316067300853485</v>
      </c>
      <c r="P31" s="42" t="n">
        <f aca="false">P18/P8</f>
        <v>0.0304042699076377</v>
      </c>
      <c r="Q31" s="42" t="n">
        <f aca="false">Q18/Q8</f>
        <v>-0.426201790449748</v>
      </c>
      <c r="R31" s="42" t="n">
        <f aca="false">R18/R8</f>
        <v>-0.0957517351133902</v>
      </c>
      <c r="S31" s="42" t="n">
        <f aca="false">S18/S8</f>
        <v>-0.00462588363455529</v>
      </c>
      <c r="T31" s="43" t="e">
        <f aca="false">T18/T8</f>
        <v>#DIV/0!</v>
      </c>
      <c r="U31" s="44" t="n">
        <f aca="false">U18/U8</f>
        <v>-0.140099509662532</v>
      </c>
      <c r="V31" s="42" t="n">
        <f aca="false">V18/V8</f>
        <v>0.0114219114219115</v>
      </c>
      <c r="W31" s="42" t="n">
        <f aca="false">W18/W8</f>
        <v>-0.165916014630307</v>
      </c>
      <c r="X31" s="42" t="e">
        <f aca="false">X18/X8</f>
        <v>#DIV/0!</v>
      </c>
      <c r="Y31" s="42" t="n">
        <f aca="false">Y18/Y8</f>
        <v>0.0362183089796428</v>
      </c>
      <c r="Z31" s="42" t="n">
        <f aca="false">Z18/Z8</f>
        <v>-0.408120801379228</v>
      </c>
      <c r="AA31" s="42" t="n">
        <f aca="false">AA18/AA8</f>
        <v>0.0234582190214905</v>
      </c>
      <c r="AB31" s="42" t="e">
        <f aca="false">AB18/AB8</f>
        <v>#DIV/0!</v>
      </c>
      <c r="AC31" s="42" t="n">
        <f aca="false">AC18/AC8</f>
        <v>-0.0579204466154921</v>
      </c>
      <c r="AD31" s="43" t="n">
        <f aca="false">AD18/AD8</f>
        <v>-0.064585115483319</v>
      </c>
      <c r="AF31" s="44" t="n">
        <f aca="false">AF18/AF8</f>
        <v>-0.0225678298698985</v>
      </c>
      <c r="AG31" s="42" t="n">
        <f aca="false">AG18/AG8</f>
        <v>0.00792492647554053</v>
      </c>
      <c r="AH31" s="42" t="n">
        <f aca="false">AH18/AH8</f>
        <v>-0.0102797745672317</v>
      </c>
      <c r="AI31" s="42" t="n">
        <f aca="false">AI18/AI8</f>
        <v>0.027266860277509</v>
      </c>
      <c r="AJ31" s="42" t="n">
        <f aca="false">AJ18/AJ8</f>
        <v>0.0163485163485164</v>
      </c>
      <c r="AK31" s="42" t="n">
        <f aca="false">AK18/AK8</f>
        <v>0.202013014371986</v>
      </c>
      <c r="AL31" s="42" t="n">
        <f aca="false">AL18/AL8</f>
        <v>0.0255302978651726</v>
      </c>
      <c r="AM31" s="42" t="n">
        <f aca="false">AM18/AM8</f>
        <v>-0.426201790449748</v>
      </c>
      <c r="AN31" s="42" t="n">
        <f aca="false">AN18/AN8</f>
        <v>-0.0943664611086505</v>
      </c>
      <c r="AO31" s="43" t="n">
        <f aca="false">AO18/AO8</f>
        <v>-0.0139678858578488</v>
      </c>
    </row>
    <row r="32" customFormat="false" ht="15" hidden="false" customHeight="true" outlineLevel="0" collapsed="false">
      <c r="A32" s="1" t="s">
        <v>13</v>
      </c>
      <c r="B32" s="9" t="n">
        <v>2012</v>
      </c>
      <c r="C32" s="42" t="n">
        <f aca="false">C19/C9</f>
        <v>0.0105100881998328</v>
      </c>
      <c r="D32" s="42" t="n">
        <f aca="false">D19/D9</f>
        <v>-0.00341985710155695</v>
      </c>
      <c r="E32" s="42" t="n">
        <f aca="false">E19/E9</f>
        <v>0.693167803547067</v>
      </c>
      <c r="F32" s="43" t="n">
        <f aca="false">F19/F9</f>
        <v>0.0177621855876305</v>
      </c>
      <c r="G32" s="42"/>
      <c r="H32" s="42" t="n">
        <v>0.02</v>
      </c>
      <c r="I32" s="42" t="n">
        <v>0.003</v>
      </c>
      <c r="J32" s="44" t="n">
        <f aca="false">J19/J9</f>
        <v>0.0552876850605651</v>
      </c>
      <c r="K32" s="42" t="n">
        <f aca="false">K19/K9</f>
        <v>-0.0653729699972475</v>
      </c>
      <c r="L32" s="42" t="n">
        <f aca="false">L19/L9</f>
        <v>0.00640776195294064</v>
      </c>
      <c r="M32" s="42" t="n">
        <f aca="false">M19/M9</f>
        <v>0.00185888628465203</v>
      </c>
      <c r="N32" s="42" t="n">
        <f aca="false">N19/N9</f>
        <v>-0.0161533196440793</v>
      </c>
      <c r="O32" s="42" t="n">
        <f aca="false">O19/O9</f>
        <v>-0.226276870163371</v>
      </c>
      <c r="P32" s="42" t="n">
        <f aca="false">P19/P9</f>
        <v>-0.120532072125333</v>
      </c>
      <c r="Q32" s="42" t="n">
        <f aca="false">Q19/Q9</f>
        <v>-0.702241653418124</v>
      </c>
      <c r="R32" s="42" t="n">
        <f aca="false">R19/R9</f>
        <v>-0.0503358522250209</v>
      </c>
      <c r="S32" s="42" t="n">
        <f aca="false">S19/S9</f>
        <v>0.00578404128622478</v>
      </c>
      <c r="T32" s="43" t="e">
        <f aca="false">T19/T9</f>
        <v>#DIV/0!</v>
      </c>
      <c r="U32" s="44" t="n">
        <f aca="false">U19/U9</f>
        <v>0.0167155425219941</v>
      </c>
      <c r="V32" s="42" t="n">
        <f aca="false">V19/V9</f>
        <v>0.051470588235294</v>
      </c>
      <c r="W32" s="42" t="n">
        <f aca="false">W19/W9</f>
        <v>-0.0836232498939329</v>
      </c>
      <c r="X32" s="42" t="e">
        <f aca="false">X19/X9</f>
        <v>#DIV/0!</v>
      </c>
      <c r="Y32" s="42" t="n">
        <f aca="false">Y19/Y9</f>
        <v>0.0108572149981063</v>
      </c>
      <c r="Z32" s="42" t="n">
        <f aca="false">Z19/Z9</f>
        <v>0.190445859872611</v>
      </c>
      <c r="AA32" s="42" t="n">
        <f aca="false">AA19/AA9</f>
        <v>-0.0687425149700598</v>
      </c>
      <c r="AB32" s="42" t="e">
        <f aca="false">AB19/AB9</f>
        <v>#DIV/0!</v>
      </c>
      <c r="AC32" s="42" t="n">
        <f aca="false">AC19/AC9</f>
        <v>0.0747500000000001</v>
      </c>
      <c r="AD32" s="43" t="n">
        <f aca="false">AD19/AD9</f>
        <v>0.0724770642201834</v>
      </c>
      <c r="AF32" s="44" t="n">
        <f aca="false">AF19/AF9</f>
        <v>0.0548501380526263</v>
      </c>
      <c r="AG32" s="42" t="n">
        <f aca="false">AG19/AG9</f>
        <v>0.0318044938614779</v>
      </c>
      <c r="AH32" s="42" t="n">
        <f aca="false">AH19/AH9</f>
        <v>-0.0146725741079233</v>
      </c>
      <c r="AI32" s="42" t="n">
        <f aca="false">AI19/AI9</f>
        <v>0.00185888628465203</v>
      </c>
      <c r="AJ32" s="42" t="n">
        <f aca="false">AJ19/AJ9</f>
        <v>-0.000610243370868084</v>
      </c>
      <c r="AK32" s="42" t="n">
        <f aca="false">AK19/AK9</f>
        <v>-0.181131641493521</v>
      </c>
      <c r="AL32" s="42" t="n">
        <f aca="false">AL19/AL9</f>
        <v>-0.0848192328867681</v>
      </c>
      <c r="AM32" s="42" t="n">
        <f aca="false">AM19/AM9</f>
        <v>-0.702241653418124</v>
      </c>
      <c r="AN32" s="42" t="n">
        <f aca="false">AN19/AN9</f>
        <v>-0.0462713241267261</v>
      </c>
      <c r="AO32" s="43" t="n">
        <f aca="false">AO19/AO9</f>
        <v>0.0156243654822336</v>
      </c>
    </row>
    <row r="33" customFormat="false" ht="15" hidden="false" customHeight="true" outlineLevel="0" collapsed="false">
      <c r="A33" s="1" t="s">
        <v>12</v>
      </c>
      <c r="B33" s="9" t="n">
        <v>2011</v>
      </c>
      <c r="C33" s="42" t="n">
        <f aca="false">C20/C10</f>
        <v>0.00726142124305849</v>
      </c>
      <c r="D33" s="42" t="n">
        <f aca="false">D20/D10</f>
        <v>0.0606246440930398</v>
      </c>
      <c r="E33" s="42" t="n">
        <f aca="false">E20/E10</f>
        <v>-0.0495331950207469</v>
      </c>
      <c r="F33" s="43" t="n">
        <f aca="false">F20/F10</f>
        <v>0.0162042264881434</v>
      </c>
      <c r="G33" s="42"/>
      <c r="H33" s="42" t="n">
        <v>0.021</v>
      </c>
      <c r="I33" s="42" t="n">
        <v>0.021</v>
      </c>
      <c r="J33" s="44" t="n">
        <f aca="false">J20/J10</f>
        <v>0.0138932716991752</v>
      </c>
      <c r="K33" s="42" t="n">
        <f aca="false">K20/K10</f>
        <v>-0.140525195173882</v>
      </c>
      <c r="L33" s="42" t="n">
        <f aca="false">L20/L10</f>
        <v>-0.0206057218354592</v>
      </c>
      <c r="M33" s="42" t="n">
        <f aca="false">M20/M10</f>
        <v>0.00511779041429728</v>
      </c>
      <c r="N33" s="42" t="n">
        <f aca="false">N20/N10</f>
        <v>0.0437578138953385</v>
      </c>
      <c r="O33" s="42" t="n">
        <f aca="false">O20/O10</f>
        <v>0.123671497584541</v>
      </c>
      <c r="P33" s="42" t="n">
        <f aca="false">P20/P10</f>
        <v>-0.00441436138905238</v>
      </c>
      <c r="Q33" s="42" t="n">
        <f aca="false">Q20/Q10</f>
        <v>-0.0253099173553719</v>
      </c>
      <c r="R33" s="42" t="n">
        <f aca="false">R20/R10</f>
        <v>-0.174636174636175</v>
      </c>
      <c r="S33" s="42" t="n">
        <f aca="false">S20/S10</f>
        <v>-0.0213675213675213</v>
      </c>
      <c r="T33" s="43" t="e">
        <f aca="false">T20/T10</f>
        <v>#DIV/0!</v>
      </c>
      <c r="U33" s="44" t="n">
        <f aca="false">U20/U10</f>
        <v>0.34384236453202</v>
      </c>
      <c r="V33" s="42" t="n">
        <f aca="false">V20/V10</f>
        <v>0.0492109877264758</v>
      </c>
      <c r="W33" s="42" t="n">
        <f aca="false">W20/W10</f>
        <v>-0.0135598895120114</v>
      </c>
      <c r="X33" s="42" t="e">
        <f aca="false">X20/X10</f>
        <v>#DIV/0!</v>
      </c>
      <c r="Y33" s="42" t="n">
        <f aca="false">Y20/Y10</f>
        <v>0.102896129211919</v>
      </c>
      <c r="Z33" s="42" t="n">
        <f aca="false">Z20/Z10</f>
        <v>-0.00632911392405047</v>
      </c>
      <c r="AA33" s="42" t="n">
        <f aca="false">AA20/AA10</f>
        <v>0.164574616457462</v>
      </c>
      <c r="AB33" s="42" t="e">
        <f aca="false">AB20/AB10</f>
        <v>#DIV/0!</v>
      </c>
      <c r="AC33" s="42" t="n">
        <f aca="false">AC20/AC10</f>
        <v>-0.493670886075949</v>
      </c>
      <c r="AD33" s="43" t="n">
        <f aca="false">AD20/AD10</f>
        <v>-0.0311111111111111</v>
      </c>
      <c r="AF33" s="44" t="n">
        <f aca="false">AF20/AF10</f>
        <v>0.0167250097238428</v>
      </c>
      <c r="AG33" s="42" t="n">
        <f aca="false">AG20/AG10</f>
        <v>0.0116230022964804</v>
      </c>
      <c r="AH33" s="42" t="n">
        <f aca="false">AH20/AH10</f>
        <v>-0.0189650131566125</v>
      </c>
      <c r="AI33" s="42" t="n">
        <f aca="false">AI20/AI10</f>
        <v>0.00511779041429728</v>
      </c>
      <c r="AJ33" s="42" t="n">
        <f aca="false">AJ20/AJ10</f>
        <v>0.0769892809639309</v>
      </c>
      <c r="AK33" s="42" t="n">
        <f aca="false">AK20/AK10</f>
        <v>0.107968059802922</v>
      </c>
      <c r="AL33" s="42" t="n">
        <f aca="false">AL20/AL10</f>
        <v>0.106283626027815</v>
      </c>
      <c r="AM33" s="42" t="n">
        <f aca="false">AM20/AM10</f>
        <v>-0.0253099173553719</v>
      </c>
      <c r="AN33" s="42" t="n">
        <f aca="false">AN20/AN10</f>
        <v>-0.19119579500657</v>
      </c>
      <c r="AO33" s="43" t="n">
        <f aca="false">AO20/AO10</f>
        <v>-0.0228174603174602</v>
      </c>
    </row>
    <row r="34" customFormat="false" ht="15" hidden="false" customHeight="true" outlineLevel="0" collapsed="false">
      <c r="A34" s="1" t="s">
        <v>12</v>
      </c>
      <c r="B34" s="9" t="n">
        <v>2010</v>
      </c>
      <c r="C34" s="42" t="n">
        <f aca="false">C21/C11</f>
        <v>0.0263191919609844</v>
      </c>
      <c r="D34" s="42" t="n">
        <f aca="false">D21/D11</f>
        <v>0.0616905011045223</v>
      </c>
      <c r="E34" s="42" t="n">
        <f aca="false">E21/E11</f>
        <v>-0.285528997591254</v>
      </c>
      <c r="F34" s="43" t="n">
        <f aca="false">F21/F11</f>
        <v>0.0256495104628991</v>
      </c>
      <c r="G34" s="42"/>
      <c r="H34" s="42" t="n">
        <v>0.015</v>
      </c>
      <c r="I34" s="42" t="n">
        <v>0.02</v>
      </c>
      <c r="J34" s="44" t="n">
        <f aca="false">J21/J11</f>
        <v>0.0381063684737089</v>
      </c>
      <c r="K34" s="42" t="n">
        <f aca="false">K21/K11</f>
        <v>-0.167913385826772</v>
      </c>
      <c r="L34" s="42" t="n">
        <f aca="false">L21/L11</f>
        <v>0.0608625336927224</v>
      </c>
      <c r="M34" s="42" t="n">
        <f aca="false">M21/M11</f>
        <v>0.00580112754309985</v>
      </c>
      <c r="N34" s="42" t="n">
        <f aca="false">N21/N11</f>
        <v>0.00376479024740054</v>
      </c>
      <c r="O34" s="42" t="n">
        <f aca="false">O21/O11</f>
        <v>-0.0229396771452846</v>
      </c>
      <c r="P34" s="42" t="n">
        <f aca="false">P21/P11</f>
        <v>0.0179748352306771</v>
      </c>
      <c r="Q34" s="42" t="n">
        <f aca="false">Q21/Q11</f>
        <v>-0.032</v>
      </c>
      <c r="R34" s="42" t="n">
        <f aca="false">R21/R11</f>
        <v>-0.0386409060626248</v>
      </c>
      <c r="S34" s="42" t="n">
        <f aca="false">S21/S11</f>
        <v>0.0416835289356535</v>
      </c>
      <c r="T34" s="43" t="n">
        <f aca="false">T21/T11</f>
        <v>-1</v>
      </c>
      <c r="U34" s="44" t="n">
        <f aca="false">U21/U11</f>
        <v>-0.0896860986547085</v>
      </c>
      <c r="V34" s="42" t="n">
        <f aca="false">V21/V11</f>
        <v>0.0996850697345587</v>
      </c>
      <c r="W34" s="42" t="n">
        <f aca="false">W21/W11</f>
        <v>-0.0695482866043613</v>
      </c>
      <c r="X34" s="42" t="e">
        <f aca="false">X21/X11</f>
        <v>#DIV/0!</v>
      </c>
      <c r="Y34" s="42" t="n">
        <f aca="false">Y21/Y11</f>
        <v>0.008424599831508</v>
      </c>
      <c r="Z34" s="42" t="n">
        <f aca="false">Z21/Z11</f>
        <v>0.594170403587444</v>
      </c>
      <c r="AA34" s="42" t="n">
        <f aca="false">AA21/AA11</f>
        <v>0.300221640137014</v>
      </c>
      <c r="AB34" s="42" t="e">
        <f aca="false">AB21/AB11</f>
        <v>#DIV/0!</v>
      </c>
      <c r="AC34" s="42" t="n">
        <f aca="false">AC21/AC11</f>
        <v>0.295081967213115</v>
      </c>
      <c r="AD34" s="43" t="n">
        <f aca="false">AD21/AD11</f>
        <v>-0.00662251655629133</v>
      </c>
      <c r="AF34" s="44" t="n">
        <f aca="false">AF21/AF11</f>
        <v>0.0368571478669495</v>
      </c>
      <c r="AG34" s="42" t="n">
        <f aca="false">AG21/AG11</f>
        <v>0.0338194679974804</v>
      </c>
      <c r="AH34" s="42" t="n">
        <f aca="false">AH21/AH11</f>
        <v>0.0273327993592311</v>
      </c>
      <c r="AI34" s="42" t="n">
        <f aca="false">AI21/AI11</f>
        <v>0.00580112754309985</v>
      </c>
      <c r="AJ34" s="42" t="n">
        <f aca="false">AJ21/AJ11</f>
        <v>0.00637795275590544</v>
      </c>
      <c r="AK34" s="42" t="n">
        <f aca="false">AK21/AK11</f>
        <v>0.0249891162385721</v>
      </c>
      <c r="AL34" s="42" t="n">
        <f aca="false">AL21/AL11</f>
        <v>0.186724491025178</v>
      </c>
      <c r="AM34" s="42" t="n">
        <f aca="false">AM21/AM11</f>
        <v>-0.032</v>
      </c>
      <c r="AN34" s="42" t="n">
        <f aca="false">AN21/AN11</f>
        <v>-0.0256081946222789</v>
      </c>
      <c r="AO34" s="43" t="n">
        <f aca="false">AO21/AO11</f>
        <v>0.0341997264021888</v>
      </c>
    </row>
    <row r="35" customFormat="false" ht="15" hidden="false" customHeight="true" outlineLevel="0" collapsed="false">
      <c r="A35" s="1" t="s">
        <v>12</v>
      </c>
      <c r="B35" s="9" t="n">
        <v>2009</v>
      </c>
      <c r="C35" s="42" t="n">
        <f aca="false">C22/C12</f>
        <v>0.0130961581284465</v>
      </c>
      <c r="D35" s="42" t="n">
        <f aca="false">D22/D12</f>
        <v>0.370109596023959</v>
      </c>
      <c r="E35" s="42" t="n">
        <f aca="false">E22/E12</f>
        <v>0.459832296456587</v>
      </c>
      <c r="F35" s="43" t="n">
        <f aca="false">F22/F12</f>
        <v>0.0700023236000309</v>
      </c>
      <c r="G35" s="42"/>
      <c r="H35" s="42" t="n">
        <v>0.001</v>
      </c>
      <c r="I35" s="42" t="n">
        <v>-0.029</v>
      </c>
      <c r="J35" s="44" t="n">
        <f aca="false">J22/J12</f>
        <v>0.0424561824508293</v>
      </c>
      <c r="K35" s="42" t="n">
        <f aca="false">K22/K12</f>
        <v>0.0831556503198294</v>
      </c>
      <c r="L35" s="42" t="n">
        <f aca="false">L22/L12</f>
        <v>-0.153798782017654</v>
      </c>
      <c r="M35" s="42" t="n">
        <f aca="false">M22/M12</f>
        <v>0.0123242349048801</v>
      </c>
      <c r="N35" s="42" t="n">
        <f aca="false">N22/N12</f>
        <v>0.0520558279894378</v>
      </c>
      <c r="O35" s="42" t="n">
        <f aca="false">O22/O12</f>
        <v>0.377861602497398</v>
      </c>
      <c r="P35" s="42" t="n">
        <f aca="false">P22/P12</f>
        <v>0.0477087256748273</v>
      </c>
      <c r="Q35" s="42" t="n">
        <f aca="false">Q22/Q12</f>
        <v>0.0256410256410256</v>
      </c>
      <c r="R35" s="42" t="n">
        <f aca="false">R22/R12</f>
        <v>0.0956204379562043</v>
      </c>
      <c r="S35" s="42" t="n">
        <f aca="false">S22/S12</f>
        <v>0.033242734685344</v>
      </c>
      <c r="T35" s="43" t="e">
        <f aca="false">T22/T12</f>
        <v>#DIV/0!</v>
      </c>
      <c r="U35" s="44" t="n">
        <f aca="false">U22/U12</f>
        <v>0.0440074906367042</v>
      </c>
      <c r="V35" s="42" t="n">
        <f aca="false">V22/V12</f>
        <v>0.064372691202627</v>
      </c>
      <c r="W35" s="42" t="n">
        <f aca="false">W22/W12</f>
        <v>2.22208281053952</v>
      </c>
      <c r="X35" s="42" t="e">
        <f aca="false">X22/X12</f>
        <v>#DIV/0!</v>
      </c>
      <c r="Y35" s="42" t="n">
        <f aca="false">Y22/Y12</f>
        <v>0.00607430428026567</v>
      </c>
      <c r="Z35" s="42" t="n">
        <f aca="false">Z22/Z12</f>
        <v>-0.146411483253588</v>
      </c>
      <c r="AA35" s="42" t="n">
        <f aca="false">AA22/AA12</f>
        <v>0.562165564998426</v>
      </c>
      <c r="AB35" s="42" t="e">
        <f aca="false">AB22/AB12</f>
        <v>#DIV/0!</v>
      </c>
      <c r="AC35" s="42" t="n">
        <f aca="false">AC22/AC12</f>
        <v>0.0892857142857143</v>
      </c>
      <c r="AD35" s="43" t="n">
        <f aca="false">AD22/AD12</f>
        <v>0.258333333333333</v>
      </c>
      <c r="AF35" s="44" t="n">
        <f aca="false">AF22/AF12</f>
        <v>0.0424713247726546</v>
      </c>
      <c r="AG35" s="42" t="n">
        <f aca="false">AG22/AG12</f>
        <v>0.0689351564118501</v>
      </c>
      <c r="AH35" s="42" t="n">
        <f aca="false">AH22/AH12</f>
        <v>0.0441582336706531</v>
      </c>
      <c r="AI35" s="42" t="n">
        <f aca="false">AI22/AI12</f>
        <v>0.0123242349048801</v>
      </c>
      <c r="AJ35" s="42" t="n">
        <f aca="false">AJ22/AJ12</f>
        <v>0.0257652855181327</v>
      </c>
      <c r="AK35" s="42" t="n">
        <f aca="false">AK22/AK12</f>
        <v>0.315126531547005</v>
      </c>
      <c r="AL35" s="42" t="n">
        <f aca="false">AL22/AL12</f>
        <v>0.304573314474305</v>
      </c>
      <c r="AM35" s="42" t="n">
        <f aca="false">AM22/AM12</f>
        <v>0.0256410256410256</v>
      </c>
      <c r="AN35" s="42" t="n">
        <f aca="false">AN22/AN12</f>
        <v>0.0953716690042075</v>
      </c>
      <c r="AO35" s="43" t="n">
        <f aca="false">AO22/AO12</f>
        <v>0.0626930765037252</v>
      </c>
    </row>
    <row r="36" customFormat="false" ht="15.75" hidden="false" customHeight="true" outlineLevel="0" collapsed="false">
      <c r="A36" s="1" t="s">
        <v>12</v>
      </c>
      <c r="B36" s="9" t="n">
        <v>2008</v>
      </c>
      <c r="C36" s="42" t="n">
        <f aca="false">C23/C13</f>
        <v>0.100398970479851</v>
      </c>
      <c r="D36" s="42" t="n">
        <f aca="false">D23/D13</f>
        <v>-0.0749072269409839</v>
      </c>
      <c r="E36" s="42" t="n">
        <f aca="false">E23/E13</f>
        <v>0.0970782168992184</v>
      </c>
      <c r="F36" s="43" t="n">
        <f aca="false">F23/F13</f>
        <v>0.0721216623025903</v>
      </c>
      <c r="G36" s="0"/>
      <c r="H36" s="1" t="n">
        <v>2.8</v>
      </c>
      <c r="I36" s="1" t="n">
        <v>0.2</v>
      </c>
      <c r="J36" s="45" t="n">
        <f aca="false">J23/J13</f>
        <v>0.0563473315498591</v>
      </c>
      <c r="K36" s="46" t="n">
        <f aca="false">K23/K13</f>
        <v>0.111155862709467</v>
      </c>
      <c r="L36" s="46" t="n">
        <f aca="false">L23/L13</f>
        <v>0.309883716935094</v>
      </c>
      <c r="M36" s="46" t="n">
        <f aca="false">M23/M13</f>
        <v>0.0742217001668643</v>
      </c>
      <c r="N36" s="46" t="n">
        <f aca="false">N23/N13</f>
        <v>-0.0155192198426167</v>
      </c>
      <c r="O36" s="46" t="n">
        <f aca="false">O23/O13</f>
        <v>0.07788897519229</v>
      </c>
      <c r="P36" s="46" t="n">
        <f aca="false">P23/P13</f>
        <v>-0.159473206559591</v>
      </c>
      <c r="Q36" s="46" t="n">
        <f aca="false">Q23/Q13</f>
        <v>-0.00603515067487663</v>
      </c>
      <c r="R36" s="46" t="n">
        <f aca="false">R23/R13</f>
        <v>-0.0339322483287734</v>
      </c>
      <c r="S36" s="46" t="n">
        <f aca="false">S23/S13</f>
        <v>0.0669480334070953</v>
      </c>
      <c r="T36" s="47" t="e">
        <f aca="false">T23/T13</f>
        <v>#DIV/0!</v>
      </c>
      <c r="U36" s="45" t="n">
        <f aca="false">U23/U13</f>
        <v>0.121000923671173</v>
      </c>
      <c r="V36" s="46" t="n">
        <f aca="false">V23/V13</f>
        <v>0.0232194805085719</v>
      </c>
      <c r="W36" s="46" t="n">
        <f aca="false">W23/W13</f>
        <v>0.367648673878425</v>
      </c>
      <c r="X36" s="46" t="e">
        <f aca="false">X23/X13</f>
        <v>#DIV/0!</v>
      </c>
      <c r="Y36" s="46" t="n">
        <f aca="false">Y23/Y13</f>
        <v>-0.00144303401074591</v>
      </c>
      <c r="Z36" s="46" t="n">
        <f aca="false">Z23/Z13</f>
        <v>0.178088677947758</v>
      </c>
      <c r="AA36" s="46" t="n">
        <f aca="false">AA23/AA13</f>
        <v>-0.566823330183701</v>
      </c>
      <c r="AB36" s="46" t="e">
        <f aca="false">AB23/AB13</f>
        <v>#DIV/0!</v>
      </c>
      <c r="AC36" s="46" t="n">
        <f aca="false">AC23/AC13</f>
        <v>-0.0363104457064189</v>
      </c>
      <c r="AD36" s="47" t="n">
        <f aca="false">AD23/AD13</f>
        <v>-0.118187385180649</v>
      </c>
      <c r="AF36" s="45" t="n">
        <f aca="false">AF23/AF13</f>
        <v>0.0569423526649021</v>
      </c>
      <c r="AG36" s="46" t="n">
        <f aca="false">AG23/AG13</f>
        <v>0.0432747198238948</v>
      </c>
      <c r="AH36" s="46" t="n">
        <f aca="false">AH23/AH13</f>
        <v>0.314509654752949</v>
      </c>
      <c r="AI36" s="46" t="n">
        <f aca="false">AI23/AI13</f>
        <v>0.0742217001668643</v>
      </c>
      <c r="AJ36" s="46" t="n">
        <f aca="false">AJ23/AJ13</f>
        <v>-0.00751995421172754</v>
      </c>
      <c r="AK36" s="46" t="n">
        <f aca="false">AK23/AK13</f>
        <v>0.0889719919845278</v>
      </c>
      <c r="AL36" s="46" t="n">
        <f aca="false">AL23/AL13</f>
        <v>-0.428027977459107</v>
      </c>
      <c r="AM36" s="46" t="n">
        <f aca="false">AM23/AM13</f>
        <v>-0.00603515067487663</v>
      </c>
      <c r="AN36" s="46" t="n">
        <f aca="false">AN23/AN13</f>
        <v>-0.0340258631785022</v>
      </c>
      <c r="AO36" s="47" t="n">
        <f aca="false">AO23/AO13</f>
        <v>0.0384233627329989</v>
      </c>
    </row>
    <row r="37" customFormat="false" ht="15.75" hidden="false" customHeight="true" outlineLevel="0" collapsed="false">
      <c r="B37" s="22" t="n">
        <v>2007</v>
      </c>
      <c r="C37" s="28"/>
      <c r="D37" s="28"/>
      <c r="E37" s="28"/>
      <c r="F37" s="29"/>
      <c r="G37" s="0"/>
      <c r="H37" s="1" t="n">
        <v>1.5</v>
      </c>
      <c r="I37" s="0"/>
      <c r="J37" s="0"/>
      <c r="K37" s="0"/>
      <c r="L37" s="0"/>
      <c r="M37" s="0"/>
      <c r="N37" s="0"/>
    </row>
    <row r="38" customFormat="false" ht="15" hidden="false" customHeight="false" outlineLevel="0" collapsed="false">
      <c r="B38" s="0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</row>
    <row r="39" customFormat="false" ht="15" hidden="false" customHeight="true" outlineLevel="0" collapsed="false">
      <c r="B39" s="0"/>
      <c r="C39" s="0"/>
      <c r="D39" s="0"/>
      <c r="E39" s="0"/>
      <c r="F39" s="0"/>
      <c r="G39" s="0"/>
      <c r="H39" s="1" t="n">
        <f aca="false">1.05*1.028*1.001*1.015*1.021*1.02*1.009*1.005*1.005</f>
        <v>1.16394306502186</v>
      </c>
      <c r="I39" s="0"/>
      <c r="J39" s="0"/>
      <c r="K39" s="0"/>
      <c r="L39" s="0"/>
      <c r="M39" s="0"/>
      <c r="N39" s="0"/>
    </row>
    <row r="40" customFormat="false" ht="15" hidden="false" customHeight="false" outlineLevel="0" collapsed="false">
      <c r="B40" s="0"/>
      <c r="C40" s="0"/>
      <c r="D40" s="0"/>
      <c r="E40" s="0"/>
      <c r="F40" s="0"/>
      <c r="G40" s="0"/>
      <c r="I40" s="0"/>
      <c r="J40" s="0"/>
      <c r="K40" s="0"/>
      <c r="L40" s="0"/>
      <c r="M40" s="0"/>
      <c r="N40" s="0"/>
    </row>
    <row r="41" customFormat="false" ht="15" hidden="false" customHeight="false" outlineLevel="0" collapsed="false">
      <c r="B41" s="0"/>
      <c r="C41" s="0"/>
      <c r="D41" s="0"/>
      <c r="E41" s="0"/>
      <c r="F41" s="0"/>
      <c r="G41" s="0"/>
      <c r="I41" s="0"/>
      <c r="J41" s="0"/>
      <c r="K41" s="0"/>
      <c r="L41" s="0"/>
      <c r="M41" s="0"/>
      <c r="N41" s="0"/>
    </row>
    <row r="42" customFormat="false" ht="15" hidden="false" customHeight="false" outlineLevel="0" collapsed="false">
      <c r="B42" s="0"/>
      <c r="C42" s="0"/>
      <c r="D42" s="0"/>
      <c r="E42" s="0"/>
      <c r="F42" s="0"/>
      <c r="G42" s="0"/>
      <c r="I42" s="0"/>
      <c r="J42" s="0"/>
      <c r="K42" s="0"/>
      <c r="L42" s="0"/>
      <c r="M42" s="0"/>
      <c r="N42" s="0"/>
    </row>
    <row r="43" customFormat="false" ht="15" hidden="false" customHeight="false" outlineLevel="0" collapsed="false">
      <c r="B43" s="0"/>
      <c r="C43" s="0"/>
      <c r="D43" s="0"/>
      <c r="E43" s="0"/>
      <c r="F43" s="0"/>
      <c r="G43" s="0"/>
      <c r="I43" s="0"/>
      <c r="J43" s="0"/>
      <c r="K43" s="0"/>
      <c r="L43" s="0"/>
      <c r="M43" s="0"/>
      <c r="N43" s="0"/>
    </row>
    <row r="44" customFormat="false" ht="15" hidden="false" customHeight="true" outlineLevel="0" collapsed="false">
      <c r="B44" s="0"/>
      <c r="C44" s="0"/>
      <c r="D44" s="0"/>
      <c r="E44" s="48" t="s">
        <v>20</v>
      </c>
      <c r="F44" s="0"/>
      <c r="G44" s="0"/>
      <c r="I44" s="0"/>
      <c r="J44" s="0"/>
      <c r="K44" s="0"/>
      <c r="L44" s="0"/>
      <c r="M44" s="0"/>
      <c r="N44" s="0"/>
    </row>
    <row r="45" customFormat="false" ht="30" hidden="false" customHeight="true" outlineLevel="0" collapsed="false">
      <c r="B45" s="1" t="s">
        <v>4</v>
      </c>
      <c r="C45" s="2" t="s">
        <v>21</v>
      </c>
      <c r="D45" s="2" t="s">
        <v>22</v>
      </c>
      <c r="E45" s="49" t="s">
        <v>23</v>
      </c>
      <c r="F45" s="49" t="s">
        <v>24</v>
      </c>
      <c r="G45" s="0"/>
      <c r="I45" s="2"/>
      <c r="J45" s="2"/>
      <c r="K45" s="2"/>
      <c r="L45" s="0"/>
      <c r="M45" s="2"/>
      <c r="N45" s="0"/>
    </row>
    <row r="46" customFormat="false" ht="15" hidden="false" customHeight="true" outlineLevel="0" collapsed="false">
      <c r="B46" s="1" t="n">
        <v>2015</v>
      </c>
      <c r="C46" s="1" t="n">
        <v>74.28</v>
      </c>
      <c r="D46" s="1" t="n">
        <v>9.54</v>
      </c>
      <c r="E46" s="50" t="n">
        <v>41365</v>
      </c>
      <c r="F46" s="51" t="s">
        <v>25</v>
      </c>
      <c r="G46" s="1" t="n">
        <f aca="false">D47-D46</f>
        <v>-0.779999999999999</v>
      </c>
      <c r="I46" s="2"/>
      <c r="J46" s="0"/>
      <c r="K46" s="0"/>
      <c r="L46" s="0"/>
      <c r="M46" s="0"/>
      <c r="N46" s="0"/>
    </row>
    <row r="47" customFormat="false" ht="15" hidden="false" customHeight="true" outlineLevel="0" collapsed="false">
      <c r="B47" s="1" t="n">
        <v>2014</v>
      </c>
      <c r="C47" s="1" t="n">
        <v>74.28</v>
      </c>
      <c r="D47" s="1" t="n">
        <v>8.76</v>
      </c>
      <c r="E47" s="50" t="n">
        <v>41000</v>
      </c>
      <c r="F47" s="51" t="s">
        <v>26</v>
      </c>
      <c r="G47" s="1" t="n">
        <f aca="false">D48-D47</f>
        <v>0</v>
      </c>
      <c r="I47" s="52"/>
      <c r="J47" s="52"/>
      <c r="K47" s="52"/>
      <c r="L47" s="52"/>
      <c r="M47" s="52"/>
      <c r="N47" s="52"/>
    </row>
    <row r="48" customFormat="false" ht="15" hidden="false" customHeight="true" outlineLevel="0" collapsed="false">
      <c r="B48" s="1" t="n">
        <v>2013</v>
      </c>
      <c r="C48" s="1" t="n">
        <v>74.28</v>
      </c>
      <c r="D48" s="1" t="n">
        <v>8.76</v>
      </c>
      <c r="E48" s="50" t="n">
        <v>40634</v>
      </c>
      <c r="F48" s="51" t="s">
        <v>26</v>
      </c>
      <c r="G48" s="1" t="n">
        <f aca="false">D49-D48</f>
        <v>-0.27</v>
      </c>
      <c r="I48" s="52"/>
      <c r="J48" s="52"/>
      <c r="K48" s="52"/>
      <c r="L48" s="52"/>
      <c r="M48" s="52"/>
      <c r="N48" s="34"/>
    </row>
    <row r="49" customFormat="false" ht="15" hidden="false" customHeight="true" outlineLevel="0" collapsed="false">
      <c r="B49" s="1" t="n">
        <v>2012</v>
      </c>
      <c r="C49" s="1" t="n">
        <v>68.59</v>
      </c>
      <c r="D49" s="1" t="n">
        <v>8.49</v>
      </c>
      <c r="E49" s="50" t="n">
        <v>40269</v>
      </c>
      <c r="F49" s="51" t="s">
        <v>27</v>
      </c>
      <c r="G49" s="1" t="n">
        <f aca="false">D50-D49</f>
        <v>-0.370000000000001</v>
      </c>
      <c r="I49" s="52"/>
      <c r="J49" s="52"/>
      <c r="K49" s="52"/>
      <c r="L49" s="52"/>
      <c r="M49" s="52"/>
      <c r="N49" s="34"/>
    </row>
    <row r="50" customFormat="false" ht="15" hidden="false" customHeight="true" outlineLevel="0" collapsed="false">
      <c r="B50" s="1" t="n">
        <v>2011</v>
      </c>
      <c r="C50" s="1" t="n">
        <v>65.39</v>
      </c>
      <c r="D50" s="1" t="n">
        <v>8.12</v>
      </c>
      <c r="E50" s="50" t="n">
        <v>39904</v>
      </c>
      <c r="F50" s="51" t="s">
        <v>28</v>
      </c>
      <c r="G50" s="1" t="n">
        <f aca="false">D51-D50</f>
        <v>-0.27</v>
      </c>
      <c r="I50" s="52"/>
      <c r="J50" s="52"/>
      <c r="K50" s="52"/>
      <c r="L50" s="52"/>
      <c r="M50" s="52"/>
      <c r="N50" s="34"/>
    </row>
    <row r="51" customFormat="false" ht="15" hidden="false" customHeight="true" outlineLevel="0" collapsed="false">
      <c r="B51" s="1" t="n">
        <v>2010</v>
      </c>
      <c r="C51" s="1" t="n">
        <v>62.14</v>
      </c>
      <c r="D51" s="1" t="n">
        <v>7.85</v>
      </c>
      <c r="E51" s="50" t="n">
        <v>39692</v>
      </c>
      <c r="F51" s="51" t="s">
        <v>29</v>
      </c>
      <c r="I51" s="52"/>
      <c r="J51" s="52"/>
      <c r="K51" s="52"/>
      <c r="L51" s="52"/>
      <c r="M51" s="52"/>
      <c r="N51" s="34"/>
    </row>
    <row r="52" customFormat="false" ht="15" hidden="false" customHeight="true" outlineLevel="0" collapsed="false">
      <c r="B52" s="1" t="n">
        <v>2009</v>
      </c>
      <c r="C52" s="1" t="n">
        <v>60.14</v>
      </c>
      <c r="D52" s="1" t="n">
        <v>7.85</v>
      </c>
      <c r="E52" s="50" t="n">
        <v>39448</v>
      </c>
      <c r="F52" s="51" t="s">
        <v>30</v>
      </c>
      <c r="I52" s="2"/>
    </row>
    <row r="53" customFormat="false" ht="15" hidden="false" customHeight="true" outlineLevel="0" collapsed="false">
      <c r="B53" s="1" t="n">
        <v>2008</v>
      </c>
      <c r="C53" s="1" t="n">
        <v>56.02</v>
      </c>
      <c r="D53" s="1" t="n">
        <v>7.85</v>
      </c>
      <c r="E53" s="50" t="n">
        <v>39083</v>
      </c>
      <c r="F53" s="51" t="s">
        <v>31</v>
      </c>
    </row>
    <row r="54" customFormat="false" ht="15" hidden="false" customHeight="true" outlineLevel="0" collapsed="false">
      <c r="B54" s="1" t="n">
        <v>2007</v>
      </c>
      <c r="C54" s="1" t="n">
        <v>51.05</v>
      </c>
      <c r="D54" s="1" t="n">
        <v>7.85</v>
      </c>
      <c r="E54" s="50" t="n">
        <v>38718</v>
      </c>
      <c r="F54" s="51" t="s">
        <v>31</v>
      </c>
    </row>
    <row r="55" customFormat="false" ht="15" hidden="false" customHeight="true" outlineLevel="0" collapsed="false">
      <c r="B55" s="1" t="n">
        <v>2006</v>
      </c>
      <c r="C55" s="1" t="n">
        <v>49.9</v>
      </c>
      <c r="D55" s="1" t="n">
        <v>7.85</v>
      </c>
      <c r="E55" s="50" t="n">
        <v>38353</v>
      </c>
      <c r="F55" s="51" t="s">
        <v>32</v>
      </c>
    </row>
    <row r="56" customFormat="false" ht="15" hidden="false" customHeight="true" outlineLevel="0" collapsed="false">
      <c r="E56" s="50" t="n">
        <v>37987</v>
      </c>
      <c r="F56" s="51" t="s">
        <v>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65536"/>
  <sheetViews>
    <sheetView windowProtection="false" showFormulas="false" showGridLines="true" showRowColHeaders="true" showZeros="true" rightToLeft="false" tabSelected="true" showOutlineSymbols="true" defaultGridColor="true" view="normal" topLeftCell="A20" colorId="64" zoomScale="65" zoomScaleNormal="65" zoomScalePageLayoutView="100" workbookViewId="0">
      <selection pane="topLeft" activeCell="H105" activeCellId="0" sqref="H105"/>
    </sheetView>
  </sheetViews>
  <sheetFormatPr defaultRowHeight="13.8"/>
  <cols>
    <col collapsed="false" hidden="false" max="1" min="1" style="1" width="58.0816326530612"/>
    <col collapsed="false" hidden="false" max="2" min="2" style="1" width="17.1785714285714"/>
    <col collapsed="false" hidden="false" max="12" min="3" style="1" width="19.9795918367347"/>
    <col collapsed="false" hidden="false" max="13" min="13" style="1" width="19.7448979591837"/>
    <col collapsed="false" hidden="false" max="14" min="14" style="1" width="28.4642857142857"/>
    <col collapsed="false" hidden="false" max="15" min="15" style="1" width="16.1275510204082"/>
    <col collapsed="false" hidden="false" max="16" min="16" style="1" width="15.8367346938776"/>
    <col collapsed="false" hidden="false" max="17" min="17" style="1" width="14.984693877551"/>
    <col collapsed="false" hidden="false" max="18" min="18" style="1" width="15.4081632653061"/>
    <col collapsed="false" hidden="false" max="19" min="19" style="1" width="13.2755102040816"/>
    <col collapsed="false" hidden="false" max="20" min="20" style="1" width="13.6989795918367"/>
    <col collapsed="false" hidden="false" max="21" min="21" style="1" width="17.8367346938776"/>
    <col collapsed="false" hidden="false" max="24" min="22" style="1" width="14.984693877551"/>
    <col collapsed="false" hidden="false" max="258" min="25" style="1" width="11.6989795918367"/>
    <col collapsed="false" hidden="false" max="1025" min="259" style="0" width="11.6989795918367"/>
  </cols>
  <sheetData>
    <row r="1" customFormat="false" ht="18.15" hidden="false" customHeight="true" outlineLevel="0" collapsed="false">
      <c r="A1" s="2" t="s">
        <v>34</v>
      </c>
      <c r="B1" s="53" t="s">
        <v>12</v>
      </c>
      <c r="C1" s="53" t="s">
        <v>12</v>
      </c>
      <c r="D1" s="53" t="s">
        <v>12</v>
      </c>
      <c r="E1" s="53" t="s">
        <v>12</v>
      </c>
      <c r="F1" s="53" t="s">
        <v>12</v>
      </c>
      <c r="G1" s="53" t="s">
        <v>12</v>
      </c>
      <c r="H1" s="53" t="s">
        <v>35</v>
      </c>
      <c r="I1" s="53" t="s">
        <v>12</v>
      </c>
      <c r="J1" s="53" t="s">
        <v>12</v>
      </c>
      <c r="K1" s="53" t="s">
        <v>12</v>
      </c>
      <c r="L1" s="2" t="s">
        <v>13</v>
      </c>
      <c r="M1" s="0" t="s">
        <v>12</v>
      </c>
      <c r="N1" s="2" t="s">
        <v>36</v>
      </c>
      <c r="O1" s="0"/>
      <c r="P1" s="0"/>
      <c r="Q1" s="0"/>
      <c r="R1" s="0"/>
      <c r="S1" s="0"/>
      <c r="T1" s="0"/>
      <c r="U1" s="0"/>
      <c r="V1" s="0"/>
      <c r="W1" s="0"/>
      <c r="X1" s="0"/>
    </row>
    <row r="2" customFormat="false" ht="15.8" hidden="false" customHeight="true" outlineLevel="0" collapsed="false">
      <c r="A2" s="54" t="s">
        <v>37</v>
      </c>
      <c r="B2" s="55" t="n">
        <v>2006</v>
      </c>
      <c r="C2" s="56" t="n">
        <v>2007</v>
      </c>
      <c r="D2" s="56" t="n">
        <v>2008</v>
      </c>
      <c r="E2" s="56" t="n">
        <v>2009</v>
      </c>
      <c r="F2" s="56" t="n">
        <v>2010</v>
      </c>
      <c r="G2" s="56" t="n">
        <v>2011</v>
      </c>
      <c r="H2" s="56" t="n">
        <v>2012</v>
      </c>
      <c r="I2" s="56" t="n">
        <v>2012</v>
      </c>
      <c r="J2" s="56" t="n">
        <v>2013</v>
      </c>
      <c r="K2" s="56" t="n">
        <v>2014</v>
      </c>
      <c r="L2" s="57" t="n">
        <v>2015</v>
      </c>
      <c r="M2" s="0" t="n">
        <v>2015</v>
      </c>
      <c r="N2" s="1" t="n">
        <v>2009</v>
      </c>
      <c r="O2" s="1" t="n">
        <v>2010</v>
      </c>
      <c r="P2" s="1" t="n">
        <v>2011</v>
      </c>
      <c r="Q2" s="1" t="n">
        <v>2012</v>
      </c>
      <c r="R2" s="1" t="n">
        <v>2013</v>
      </c>
      <c r="S2" s="1" t="n">
        <v>2014</v>
      </c>
      <c r="T2" s="1" t="n">
        <v>2015</v>
      </c>
      <c r="U2" s="0"/>
      <c r="V2" s="0"/>
      <c r="W2" s="0"/>
      <c r="X2" s="0"/>
    </row>
    <row r="3" customFormat="false" ht="15.8" hidden="false" customHeight="true" outlineLevel="0" collapsed="false">
      <c r="A3" s="58" t="s">
        <v>38</v>
      </c>
      <c r="B3" s="59" t="n">
        <v>436</v>
      </c>
      <c r="C3" s="59" t="n">
        <v>439</v>
      </c>
      <c r="D3" s="60" t="n">
        <v>445</v>
      </c>
      <c r="E3" s="60" t="n">
        <v>346</v>
      </c>
      <c r="F3" s="60" t="n">
        <v>200</v>
      </c>
      <c r="G3" s="60" t="n">
        <v>42</v>
      </c>
      <c r="H3" s="60" t="n">
        <v>40</v>
      </c>
      <c r="I3" s="60" t="n">
        <v>36</v>
      </c>
      <c r="J3" s="60" t="n">
        <v>20</v>
      </c>
      <c r="K3" s="60" t="n">
        <v>18</v>
      </c>
      <c r="L3" s="61" t="n">
        <v>29</v>
      </c>
      <c r="M3" s="0" t="n">
        <v>17</v>
      </c>
      <c r="N3" s="62" t="n">
        <f aca="false">D3-E3</f>
        <v>99</v>
      </c>
      <c r="O3" s="62" t="n">
        <f aca="false">E3-F3</f>
        <v>146</v>
      </c>
      <c r="P3" s="62" t="n">
        <f aca="false">F3-G3</f>
        <v>158</v>
      </c>
      <c r="Q3" s="62" t="n">
        <f aca="false">G3-I3</f>
        <v>6</v>
      </c>
      <c r="R3" s="62" t="n">
        <f aca="false">I3-J3</f>
        <v>16</v>
      </c>
      <c r="S3" s="62" t="n">
        <f aca="false">J3-K3</f>
        <v>2</v>
      </c>
      <c r="T3" s="62" t="n">
        <f aca="false">K3-L3</f>
        <v>-11</v>
      </c>
      <c r="U3" s="62"/>
      <c r="V3" s="0"/>
      <c r="W3" s="0"/>
      <c r="X3" s="0"/>
    </row>
    <row r="4" customFormat="false" ht="15.75" hidden="false" customHeight="true" outlineLevel="0" collapsed="false">
      <c r="A4" s="58" t="s">
        <v>39</v>
      </c>
      <c r="B4" s="59" t="n">
        <v>13630</v>
      </c>
      <c r="C4" s="59" t="n">
        <v>13520</v>
      </c>
      <c r="D4" s="60" t="n">
        <v>13391</v>
      </c>
      <c r="E4" s="60" t="n">
        <v>10878</v>
      </c>
      <c r="F4" s="60" t="n">
        <v>5285</v>
      </c>
      <c r="G4" s="60" t="n">
        <v>1828</v>
      </c>
      <c r="H4" s="60" t="n">
        <v>1562</v>
      </c>
      <c r="I4" s="60" t="n">
        <v>1044</v>
      </c>
      <c r="J4" s="60" t="n">
        <v>709</v>
      </c>
      <c r="K4" s="60" t="n">
        <v>666</v>
      </c>
      <c r="L4" s="61" t="n">
        <v>839</v>
      </c>
      <c r="M4" s="0" t="n">
        <v>497</v>
      </c>
      <c r="N4" s="62" t="n">
        <f aca="false">D4-E4</f>
        <v>2513</v>
      </c>
      <c r="O4" s="62" t="n">
        <f aca="false">E4-F4</f>
        <v>5593</v>
      </c>
      <c r="P4" s="62" t="n">
        <f aca="false">F4-G4</f>
        <v>3457</v>
      </c>
      <c r="Q4" s="62" t="n">
        <f aca="false">G4-I4</f>
        <v>784</v>
      </c>
      <c r="R4" s="62" t="n">
        <f aca="false">I4-J4</f>
        <v>335</v>
      </c>
      <c r="S4" s="62" t="n">
        <f aca="false">J4-K4</f>
        <v>43</v>
      </c>
      <c r="T4" s="62" t="n">
        <f aca="false">K4-L4</f>
        <v>-173</v>
      </c>
      <c r="U4" s="0"/>
      <c r="V4" s="0"/>
      <c r="W4" s="0"/>
      <c r="X4" s="0"/>
    </row>
    <row r="5" customFormat="false" ht="15" hidden="false" customHeight="true" outlineLevel="0" collapsed="false">
      <c r="A5" s="63" t="s">
        <v>40</v>
      </c>
      <c r="B5" s="64" t="n">
        <v>2818</v>
      </c>
      <c r="C5" s="65" t="n">
        <v>2810</v>
      </c>
      <c r="D5" s="60" t="n">
        <v>2797</v>
      </c>
      <c r="E5" s="60" t="n">
        <v>2801</v>
      </c>
      <c r="F5" s="60" t="n">
        <v>1182</v>
      </c>
      <c r="G5" s="60"/>
      <c r="H5" s="60"/>
      <c r="I5" s="60"/>
      <c r="J5" s="60"/>
      <c r="K5" s="60"/>
      <c r="L5" s="61"/>
      <c r="M5" s="0"/>
      <c r="N5" s="62" t="n">
        <f aca="false">D5-E5</f>
        <v>-4</v>
      </c>
      <c r="O5" s="62" t="n">
        <f aca="false">E5-F5</f>
        <v>1619</v>
      </c>
      <c r="P5" s="62" t="n">
        <f aca="false">F5-G5</f>
        <v>1182</v>
      </c>
      <c r="Q5" s="62" t="n">
        <f aca="false">G5-I5</f>
        <v>0</v>
      </c>
      <c r="R5" s="62" t="n">
        <f aca="false">I5-J5</f>
        <v>0</v>
      </c>
      <c r="S5" s="62" t="n">
        <f aca="false">J5-K5</f>
        <v>0</v>
      </c>
      <c r="T5" s="62" t="n">
        <f aca="false">K5-L5</f>
        <v>0</v>
      </c>
      <c r="U5" s="0"/>
      <c r="V5" s="0"/>
      <c r="W5" s="0"/>
      <c r="X5" s="0"/>
    </row>
    <row r="6" customFormat="false" ht="15" hidden="false" customHeight="true" outlineLevel="0" collapsed="false">
      <c r="A6" s="66" t="s">
        <v>41</v>
      </c>
      <c r="B6" s="67" t="n">
        <v>61423</v>
      </c>
      <c r="C6" s="68" t="n">
        <v>74647</v>
      </c>
      <c r="D6" s="60" t="n">
        <v>75203</v>
      </c>
      <c r="E6" s="60" t="n">
        <v>56068</v>
      </c>
      <c r="F6" s="60" t="n">
        <v>24402</v>
      </c>
      <c r="G6" s="60" t="n">
        <v>9458</v>
      </c>
      <c r="H6" s="60" t="n">
        <v>6933</v>
      </c>
      <c r="I6" s="60" t="n">
        <v>4305</v>
      </c>
      <c r="J6" s="60" t="n">
        <v>2572</v>
      </c>
      <c r="K6" s="60" t="n">
        <v>2511</v>
      </c>
      <c r="L6" s="61" t="n">
        <v>2966</v>
      </c>
      <c r="M6" s="0" t="n">
        <v>2081</v>
      </c>
      <c r="N6" s="62" t="n">
        <f aca="false">D6-E6</f>
        <v>19135</v>
      </c>
      <c r="O6" s="62" t="n">
        <f aca="false">E6-F6</f>
        <v>31666</v>
      </c>
      <c r="P6" s="62" t="n">
        <f aca="false">F6-G6</f>
        <v>14944</v>
      </c>
      <c r="Q6" s="62" t="n">
        <f aca="false">G6-I6</f>
        <v>5153</v>
      </c>
      <c r="R6" s="62" t="n">
        <f aca="false">I6-J6</f>
        <v>1733</v>
      </c>
      <c r="S6" s="62" t="n">
        <f aca="false">J6-K6</f>
        <v>61</v>
      </c>
      <c r="T6" s="62" t="n">
        <f aca="false">K6-L6</f>
        <v>-455</v>
      </c>
      <c r="U6" s="0"/>
      <c r="V6" s="0"/>
      <c r="W6" s="0"/>
      <c r="X6" s="0"/>
    </row>
    <row r="7" customFormat="false" ht="15.8" hidden="false" customHeight="true" outlineLevel="0" collapsed="false">
      <c r="A7" s="58" t="s">
        <v>42</v>
      </c>
      <c r="B7" s="59" t="n">
        <v>118</v>
      </c>
      <c r="C7" s="59" t="n">
        <v>92</v>
      </c>
      <c r="D7" s="60" t="n">
        <v>84</v>
      </c>
      <c r="E7" s="60" t="n">
        <v>67</v>
      </c>
      <c r="F7" s="60" t="n">
        <v>134</v>
      </c>
      <c r="G7" s="60" t="n">
        <v>51</v>
      </c>
      <c r="H7" s="60" t="n">
        <v>69</v>
      </c>
      <c r="I7" s="60" t="n">
        <v>28</v>
      </c>
      <c r="J7" s="60" t="n">
        <v>4</v>
      </c>
      <c r="K7" s="60" t="n">
        <v>6</v>
      </c>
      <c r="L7" s="61" t="n">
        <v>20</v>
      </c>
      <c r="M7" s="0" t="n">
        <v>6</v>
      </c>
      <c r="N7" s="62" t="n">
        <f aca="false">D7-E7</f>
        <v>17</v>
      </c>
      <c r="O7" s="62" t="n">
        <f aca="false">E7-F7</f>
        <v>-67</v>
      </c>
      <c r="P7" s="62" t="n">
        <f aca="false">F7-G7</f>
        <v>83</v>
      </c>
      <c r="Q7" s="62" t="n">
        <f aca="false">G7-I7</f>
        <v>23</v>
      </c>
      <c r="R7" s="62" t="n">
        <f aca="false">I7-J7</f>
        <v>24</v>
      </c>
      <c r="S7" s="62" t="n">
        <f aca="false">J7-K7</f>
        <v>-2</v>
      </c>
      <c r="T7" s="62" t="n">
        <f aca="false">K7-L7</f>
        <v>-14</v>
      </c>
      <c r="U7" s="0"/>
      <c r="V7" s="0"/>
      <c r="W7" s="0"/>
      <c r="X7" s="0"/>
    </row>
    <row r="8" customFormat="false" ht="15" hidden="false" customHeight="true" outlineLevel="0" collapsed="false">
      <c r="A8" s="58" t="s">
        <v>43</v>
      </c>
      <c r="B8" s="59" t="n">
        <v>1983</v>
      </c>
      <c r="C8" s="59" t="n">
        <v>2077</v>
      </c>
      <c r="D8" s="60" t="n">
        <v>2175</v>
      </c>
      <c r="E8" s="60" t="n">
        <v>1793</v>
      </c>
      <c r="F8" s="60" t="n">
        <v>948</v>
      </c>
      <c r="G8" s="60" t="n">
        <v>570</v>
      </c>
      <c r="H8" s="60" t="n">
        <v>464</v>
      </c>
      <c r="I8" s="60" t="n">
        <v>414</v>
      </c>
      <c r="J8" s="60" t="n">
        <v>298</v>
      </c>
      <c r="K8" s="60" t="n">
        <v>294</v>
      </c>
      <c r="L8" s="61" t="n">
        <v>274</v>
      </c>
      <c r="M8" s="0" t="n">
        <v>279</v>
      </c>
      <c r="N8" s="62" t="n">
        <f aca="false">D8-E8</f>
        <v>382</v>
      </c>
      <c r="O8" s="62" t="n">
        <f aca="false">E8-F8</f>
        <v>845</v>
      </c>
      <c r="P8" s="62" t="n">
        <f aca="false">F8-G8</f>
        <v>378</v>
      </c>
      <c r="Q8" s="62" t="n">
        <f aca="false">G8-I8</f>
        <v>156</v>
      </c>
      <c r="R8" s="62" t="n">
        <f aca="false">I8-J8</f>
        <v>116</v>
      </c>
      <c r="S8" s="62" t="n">
        <f aca="false">J8-K8</f>
        <v>4</v>
      </c>
      <c r="T8" s="62" t="n">
        <f aca="false">K8-L8</f>
        <v>20</v>
      </c>
      <c r="U8" s="0"/>
      <c r="V8" s="0"/>
      <c r="W8" s="0"/>
      <c r="X8" s="0"/>
    </row>
    <row r="9" customFormat="false" ht="15" hidden="false" customHeight="true" outlineLevel="0" collapsed="false">
      <c r="A9" s="58" t="s">
        <v>44</v>
      </c>
      <c r="B9" s="59" t="n">
        <v>47463</v>
      </c>
      <c r="C9" s="59" t="n">
        <v>47884</v>
      </c>
      <c r="D9" s="60" t="n">
        <v>47927</v>
      </c>
      <c r="E9" s="60" t="n">
        <v>37020</v>
      </c>
      <c r="F9" s="60" t="n">
        <v>18715</v>
      </c>
      <c r="G9" s="60" t="n">
        <v>9223</v>
      </c>
      <c r="H9" s="60" t="n">
        <v>7331</v>
      </c>
      <c r="I9" s="60" t="n">
        <v>5973</v>
      </c>
      <c r="J9" s="60" t="n">
        <v>4428</v>
      </c>
      <c r="K9" s="60" t="n">
        <v>4438</v>
      </c>
      <c r="L9" s="61" t="n">
        <v>4618</v>
      </c>
      <c r="M9" s="0" t="n">
        <v>3757</v>
      </c>
      <c r="N9" s="62" t="n">
        <f aca="false">D9-E9</f>
        <v>10907</v>
      </c>
      <c r="O9" s="62" t="n">
        <f aca="false">E9-F9</f>
        <v>18305</v>
      </c>
      <c r="P9" s="62" t="n">
        <f aca="false">F9-G9</f>
        <v>9492</v>
      </c>
      <c r="Q9" s="62" t="n">
        <f aca="false">G9-I9</f>
        <v>3250</v>
      </c>
      <c r="R9" s="62" t="n">
        <f aca="false">I9-J9</f>
        <v>1545</v>
      </c>
      <c r="S9" s="62" t="n">
        <f aca="false">J9-K9</f>
        <v>-10</v>
      </c>
      <c r="T9" s="62" t="n">
        <f aca="false">K9-L9</f>
        <v>-180</v>
      </c>
      <c r="U9" s="0"/>
      <c r="V9" s="0"/>
      <c r="W9" s="0"/>
      <c r="X9" s="0"/>
    </row>
    <row r="10" customFormat="false" ht="15" hidden="false" customHeight="true" outlineLevel="0" collapsed="false">
      <c r="A10" s="66" t="s">
        <v>45</v>
      </c>
      <c r="B10" s="67" t="n">
        <v>4387</v>
      </c>
      <c r="C10" s="68" t="n">
        <v>4357</v>
      </c>
      <c r="D10" s="60" t="n">
        <v>4359</v>
      </c>
      <c r="E10" s="60" t="n">
        <v>3645</v>
      </c>
      <c r="F10" s="60" t="n">
        <v>2195</v>
      </c>
      <c r="G10" s="60" t="n">
        <v>1062</v>
      </c>
      <c r="H10" s="60" t="n">
        <v>899</v>
      </c>
      <c r="I10" s="60" t="n">
        <v>614</v>
      </c>
      <c r="J10" s="60" t="n">
        <v>495</v>
      </c>
      <c r="K10" s="60" t="n">
        <v>490</v>
      </c>
      <c r="L10" s="61" t="n">
        <v>526</v>
      </c>
      <c r="M10" s="0" t="n">
        <v>475</v>
      </c>
      <c r="N10" s="62" t="n">
        <f aca="false">D10-E10</f>
        <v>714</v>
      </c>
      <c r="O10" s="62" t="n">
        <f aca="false">E10-F10</f>
        <v>1450</v>
      </c>
      <c r="P10" s="62" t="n">
        <f aca="false">F10-G10</f>
        <v>1133</v>
      </c>
      <c r="Q10" s="62" t="n">
        <f aca="false">G10-I10</f>
        <v>448</v>
      </c>
      <c r="R10" s="62" t="n">
        <f aca="false">I10-J10</f>
        <v>119</v>
      </c>
      <c r="S10" s="62" t="n">
        <f aca="false">J10-K10</f>
        <v>5</v>
      </c>
      <c r="T10" s="62" t="n">
        <f aca="false">K10-L10</f>
        <v>-36</v>
      </c>
      <c r="U10" s="0"/>
      <c r="V10" s="0"/>
      <c r="W10" s="0"/>
      <c r="X10" s="0"/>
    </row>
    <row r="11" customFormat="false" ht="17" hidden="false" customHeight="true" outlineLevel="0" collapsed="false">
      <c r="A11" s="58" t="s">
        <v>46</v>
      </c>
      <c r="B11" s="69" t="n">
        <f aca="false">SUM(B3:B10)</f>
        <v>132258</v>
      </c>
      <c r="C11" s="69" t="n">
        <f aca="false">SUM(C3:C10)</f>
        <v>145826</v>
      </c>
      <c r="D11" s="69" t="n">
        <f aca="false">SUM(D3:D10)</f>
        <v>146381</v>
      </c>
      <c r="E11" s="69" t="n">
        <f aca="false">SUM(E3:E10)</f>
        <v>112618</v>
      </c>
      <c r="F11" s="69" t="n">
        <f aca="false">SUM(F3:F10)</f>
        <v>53061</v>
      </c>
      <c r="G11" s="69" t="n">
        <f aca="false">SUM(G3:G10)</f>
        <v>22234</v>
      </c>
      <c r="H11" s="69" t="n">
        <v>17298</v>
      </c>
      <c r="I11" s="69" t="n">
        <f aca="false">SUM(I3:I10)</f>
        <v>12414</v>
      </c>
      <c r="J11" s="69" t="n">
        <f aca="false">SUM(J3:J10)</f>
        <v>8526</v>
      </c>
      <c r="K11" s="69" t="n">
        <f aca="false">SUM(K3:K10)</f>
        <v>8423</v>
      </c>
      <c r="L11" s="70" t="n">
        <f aca="false">SUM(L3:L10)</f>
        <v>9272</v>
      </c>
      <c r="M11" s="0" t="n">
        <v>7112</v>
      </c>
      <c r="N11" s="62" t="n">
        <f aca="false">D11-E11</f>
        <v>33763</v>
      </c>
      <c r="O11" s="62" t="n">
        <f aca="false">E11-F11</f>
        <v>59557</v>
      </c>
      <c r="P11" s="62" t="n">
        <f aca="false">F11-G11</f>
        <v>30827</v>
      </c>
      <c r="Q11" s="62" t="n">
        <f aca="false">G11-I11</f>
        <v>9820</v>
      </c>
      <c r="R11" s="62" t="n">
        <f aca="false">I11-J11</f>
        <v>3888</v>
      </c>
      <c r="S11" s="62" t="n">
        <f aca="false">J11-K11</f>
        <v>103</v>
      </c>
      <c r="T11" s="62" t="n">
        <f aca="false">K11-L11</f>
        <v>-849</v>
      </c>
      <c r="U11" s="0"/>
      <c r="V11" s="0"/>
      <c r="W11" s="0"/>
      <c r="X11" s="0"/>
    </row>
    <row r="12" customFormat="false" ht="15.8" hidden="false" customHeight="true" outlineLevel="0" collapsed="false">
      <c r="A12" s="71" t="s">
        <v>47</v>
      </c>
      <c r="B12" s="72"/>
      <c r="C12" s="72"/>
      <c r="D12" s="73"/>
      <c r="E12" s="73" t="n">
        <f aca="false">-D11+E11</f>
        <v>-33763</v>
      </c>
      <c r="F12" s="73" t="n">
        <f aca="false">-E11+F11</f>
        <v>-59557</v>
      </c>
      <c r="G12" s="73" t="n">
        <f aca="false">-F11+G11</f>
        <v>-30827</v>
      </c>
      <c r="H12" s="73" t="n">
        <f aca="false">-G11+H11</f>
        <v>-4936</v>
      </c>
      <c r="I12" s="73" t="n">
        <f aca="false">-G11+I11</f>
        <v>-9820</v>
      </c>
      <c r="J12" s="73" t="n">
        <f aca="false">-I11+J11</f>
        <v>-3888</v>
      </c>
      <c r="K12" s="73" t="n">
        <f aca="false">-J11+K11</f>
        <v>-103</v>
      </c>
      <c r="L12" s="74"/>
      <c r="M12" s="0" t="n">
        <f aca="false">M11-K11</f>
        <v>-1311</v>
      </c>
      <c r="N12" s="0"/>
      <c r="O12" s="0"/>
      <c r="P12" s="0"/>
      <c r="Q12" s="62"/>
      <c r="R12" s="0"/>
      <c r="S12" s="0"/>
      <c r="T12" s="0"/>
      <c r="U12" s="0"/>
      <c r="V12" s="0"/>
      <c r="W12" s="0"/>
      <c r="X12" s="0"/>
    </row>
    <row r="13" customFormat="false" ht="17" hidden="false" customHeight="true" outlineLevel="0" collapsed="false">
      <c r="A13" s="75" t="s">
        <v>48</v>
      </c>
      <c r="B13" s="76"/>
      <c r="C13" s="76"/>
      <c r="D13" s="75" t="n">
        <v>17656</v>
      </c>
      <c r="E13" s="75" t="n">
        <v>52822</v>
      </c>
      <c r="F13" s="75" t="n">
        <v>112640</v>
      </c>
      <c r="G13" s="75" t="n">
        <v>139992</v>
      </c>
      <c r="H13" s="75" t="n">
        <v>147005</v>
      </c>
      <c r="I13" s="75" t="n">
        <v>147072</v>
      </c>
      <c r="J13" s="75" t="n">
        <v>150060</v>
      </c>
      <c r="K13" s="75" t="n">
        <v>150375</v>
      </c>
      <c r="L13" s="75" t="n">
        <v>161228</v>
      </c>
      <c r="M13" s="0" t="n">
        <v>151990</v>
      </c>
      <c r="N13" s="0"/>
      <c r="O13" s="0"/>
      <c r="P13" s="0"/>
      <c r="Q13" s="62"/>
      <c r="R13" s="0"/>
      <c r="S13" s="0"/>
      <c r="T13" s="0"/>
      <c r="U13" s="0"/>
      <c r="V13" s="0"/>
      <c r="W13" s="0"/>
      <c r="X13" s="0"/>
    </row>
    <row r="14" customFormat="false" ht="15.8" hidden="false" customHeight="true" outlineLevel="0" collapsed="false">
      <c r="A14" s="2"/>
      <c r="B14" s="2"/>
      <c r="C14" s="2"/>
      <c r="D14" s="0"/>
      <c r="E14" s="1" t="n">
        <f aca="false">E13-D13</f>
        <v>35166</v>
      </c>
      <c r="F14" s="1" t="n">
        <f aca="false">F13-E13</f>
        <v>59818</v>
      </c>
      <c r="G14" s="1" t="n">
        <f aca="false">G13-F13</f>
        <v>27352</v>
      </c>
      <c r="H14" s="1" t="n">
        <v>7149</v>
      </c>
      <c r="I14" s="1" t="n">
        <f aca="false">I13-G13</f>
        <v>7080</v>
      </c>
      <c r="J14" s="1" t="n">
        <f aca="false">J13-I13</f>
        <v>2988</v>
      </c>
      <c r="K14" s="1" t="n">
        <f aca="false">K13-J13</f>
        <v>315</v>
      </c>
      <c r="L14" s="0"/>
      <c r="M14" s="0"/>
      <c r="N14" s="1" t="n">
        <f aca="false">165701-158798</f>
        <v>6903</v>
      </c>
      <c r="O14" s="0"/>
      <c r="P14" s="0"/>
      <c r="Q14" s="62"/>
      <c r="R14" s="0"/>
      <c r="S14" s="0"/>
      <c r="T14" s="0"/>
      <c r="U14" s="0"/>
      <c r="V14" s="0"/>
      <c r="W14" s="0"/>
      <c r="X14" s="0"/>
    </row>
    <row r="15" customFormat="false" ht="17" hidden="false" customHeight="true" outlineLevel="0" collapsed="false">
      <c r="A15" s="77" t="s">
        <v>49</v>
      </c>
      <c r="B15" s="77" t="n">
        <f aca="false">B11+B16</f>
        <v>165851</v>
      </c>
      <c r="C15" s="77" t="n">
        <f aca="false">C11+C16</f>
        <v>165850</v>
      </c>
      <c r="D15" s="77" t="n">
        <f aca="false">D13+D11</f>
        <v>164037</v>
      </c>
      <c r="E15" s="77" t="n">
        <f aca="false">E13+E11</f>
        <v>165440</v>
      </c>
      <c r="F15" s="77" t="n">
        <f aca="false">F13+F11</f>
        <v>165701</v>
      </c>
      <c r="G15" s="77" t="n">
        <f aca="false">G13+G11</f>
        <v>162226</v>
      </c>
      <c r="H15" s="77" t="n">
        <f aca="false">H13+H11</f>
        <v>164303</v>
      </c>
      <c r="I15" s="77" t="n">
        <f aca="false">I13+I11</f>
        <v>159486</v>
      </c>
      <c r="J15" s="77" t="n">
        <f aca="false">J13+J11</f>
        <v>158586</v>
      </c>
      <c r="K15" s="77" t="n">
        <f aca="false">K13+K11</f>
        <v>158798</v>
      </c>
      <c r="L15" s="77" t="n">
        <f aca="false">L13+L11</f>
        <v>170500</v>
      </c>
      <c r="M15" s="77" t="n">
        <f aca="false">M13+M11</f>
        <v>159102</v>
      </c>
      <c r="N15" s="0" t="n">
        <f aca="false">M15-I15</f>
        <v>-384</v>
      </c>
      <c r="O15" s="0" t="n">
        <f aca="false">L15-M15</f>
        <v>11398</v>
      </c>
      <c r="P15" s="0" t="n">
        <f aca="false">O15/M15</f>
        <v>0.0716395771266232</v>
      </c>
      <c r="Q15" s="62"/>
      <c r="R15" s="0"/>
      <c r="S15" s="0"/>
      <c r="T15" s="0"/>
      <c r="U15" s="0"/>
      <c r="V15" s="0"/>
      <c r="W15" s="0"/>
      <c r="X15" s="0"/>
    </row>
    <row r="16" customFormat="false" ht="15.8" hidden="false" customHeight="true" outlineLevel="0" collapsed="false">
      <c r="A16" s="78" t="s">
        <v>50</v>
      </c>
      <c r="B16" s="79" t="n">
        <v>33593</v>
      </c>
      <c r="C16" s="79" t="n">
        <v>20024</v>
      </c>
      <c r="D16" s="80" t="n">
        <v>6698</v>
      </c>
      <c r="E16" s="80" t="n">
        <v>12750</v>
      </c>
      <c r="F16" s="80" t="n">
        <v>15718</v>
      </c>
      <c r="G16" s="80" t="n">
        <v>20146</v>
      </c>
      <c r="H16" s="80" t="n">
        <v>20147</v>
      </c>
      <c r="I16" s="80" t="n">
        <v>22211</v>
      </c>
      <c r="J16" s="80" t="n">
        <v>23875</v>
      </c>
      <c r="K16" s="80" t="n">
        <v>24695</v>
      </c>
      <c r="L16" s="80" t="n">
        <v>24639</v>
      </c>
      <c r="M16" s="0" t="n">
        <v>26327</v>
      </c>
      <c r="N16" s="0" t="n">
        <f aca="false">M16+M15</f>
        <v>185429</v>
      </c>
      <c r="O16" s="0"/>
      <c r="P16" s="0"/>
      <c r="Q16" s="0"/>
      <c r="R16" s="0"/>
      <c r="S16" s="0"/>
      <c r="T16" s="0"/>
      <c r="U16" s="0"/>
      <c r="V16" s="0"/>
      <c r="W16" s="0"/>
      <c r="X16" s="0"/>
    </row>
    <row r="17" customFormat="false" ht="15.75" hidden="false" customHeight="true" outlineLevel="0" collapsed="false">
      <c r="A17" s="2"/>
      <c r="B17" s="2"/>
      <c r="C17" s="2"/>
      <c r="D17" s="0" t="n">
        <f aca="false">D16+D15</f>
        <v>170735</v>
      </c>
      <c r="E17" s="0" t="n">
        <f aca="false">E16+E15</f>
        <v>178190</v>
      </c>
      <c r="F17" s="0" t="n">
        <f aca="false">F16+F15</f>
        <v>181419</v>
      </c>
      <c r="G17" s="0" t="n">
        <f aca="false">G16+G15</f>
        <v>182372</v>
      </c>
      <c r="H17" s="0" t="n">
        <f aca="false">H16+H15</f>
        <v>184450</v>
      </c>
      <c r="I17" s="0" t="n">
        <f aca="false">I16+I15</f>
        <v>181697</v>
      </c>
      <c r="J17" s="0" t="n">
        <f aca="false">J16+J15</f>
        <v>182461</v>
      </c>
      <c r="K17" s="0" t="n">
        <f aca="false">K15+K16</f>
        <v>183493</v>
      </c>
      <c r="L17" s="0" t="n">
        <f aca="false">L15+L16</f>
        <v>195139</v>
      </c>
      <c r="M17" s="0" t="n">
        <f aca="false">M15+M16</f>
        <v>185429</v>
      </c>
      <c r="N17" s="2" t="s">
        <v>51</v>
      </c>
      <c r="O17" s="0"/>
      <c r="P17" s="0"/>
      <c r="Q17" s="0"/>
      <c r="R17" s="0"/>
      <c r="S17" s="0"/>
      <c r="T17" s="0"/>
      <c r="U17" s="0"/>
      <c r="V17" s="0"/>
      <c r="W17" s="0"/>
      <c r="X17" s="0"/>
    </row>
    <row r="18" customFormat="false" ht="15" hidden="false" customHeight="true" outlineLevel="0" collapsed="false">
      <c r="A18" s="81" t="s">
        <v>52</v>
      </c>
      <c r="B18" s="56"/>
      <c r="C18" s="55"/>
      <c r="D18" s="82"/>
      <c r="E18" s="82"/>
      <c r="F18" s="82"/>
      <c r="G18" s="82"/>
      <c r="H18" s="82"/>
      <c r="I18" s="82"/>
      <c r="J18" s="82"/>
      <c r="K18" s="82"/>
      <c r="L18" s="83"/>
      <c r="M18" s="0"/>
      <c r="N18" s="1" t="n">
        <v>2008</v>
      </c>
      <c r="O18" s="1" t="n">
        <v>2009</v>
      </c>
      <c r="P18" s="1" t="n">
        <v>2010</v>
      </c>
      <c r="Q18" s="1" t="n">
        <v>2011</v>
      </c>
      <c r="R18" s="1" t="n">
        <v>2012</v>
      </c>
      <c r="S18" s="1" t="n">
        <v>2013</v>
      </c>
      <c r="T18" s="1" t="n">
        <v>2014</v>
      </c>
      <c r="U18" s="1" t="n">
        <v>2015</v>
      </c>
      <c r="V18" s="0"/>
      <c r="W18" s="0"/>
      <c r="X18" s="0"/>
    </row>
    <row r="19" customFormat="false" ht="15" hidden="false" customHeight="true" outlineLevel="0" collapsed="false">
      <c r="A19" s="58" t="s">
        <v>38</v>
      </c>
      <c r="B19" s="59"/>
      <c r="C19" s="59"/>
      <c r="D19" s="60" t="n">
        <v>18</v>
      </c>
      <c r="E19" s="60" t="n">
        <v>15</v>
      </c>
      <c r="F19" s="60" t="n">
        <v>15</v>
      </c>
      <c r="G19" s="60" t="n">
        <v>6</v>
      </c>
      <c r="H19" s="60" t="n">
        <v>2</v>
      </c>
      <c r="I19" s="60" t="n">
        <v>2</v>
      </c>
      <c r="J19" s="60" t="n">
        <v>0</v>
      </c>
      <c r="K19" s="60" t="n">
        <v>0</v>
      </c>
      <c r="L19" s="61" t="n">
        <v>2</v>
      </c>
      <c r="M19" s="0"/>
      <c r="N19" s="84" t="n">
        <f aca="false">D19/D3</f>
        <v>0.0404494382022472</v>
      </c>
      <c r="O19" s="84" t="n">
        <f aca="false">E19/E3</f>
        <v>0.0433526011560694</v>
      </c>
      <c r="P19" s="84" t="n">
        <f aca="false">F19/F3</f>
        <v>0.075</v>
      </c>
      <c r="Q19" s="84" t="n">
        <f aca="false">G19/G3</f>
        <v>0.142857142857143</v>
      </c>
      <c r="R19" s="84" t="n">
        <f aca="false">I19/I3</f>
        <v>0.0555555555555556</v>
      </c>
      <c r="S19" s="84" t="n">
        <f aca="false">J19/J3</f>
        <v>0</v>
      </c>
      <c r="T19" s="84" t="n">
        <f aca="false">K19/K3</f>
        <v>0</v>
      </c>
      <c r="U19" s="84" t="n">
        <f aca="false">L19/L3</f>
        <v>0.0689655172413793</v>
      </c>
      <c r="V19" s="0"/>
      <c r="W19" s="0"/>
      <c r="X19" s="0"/>
    </row>
    <row r="20" customFormat="false" ht="15.75" hidden="false" customHeight="true" outlineLevel="0" collapsed="false">
      <c r="A20" s="58" t="s">
        <v>39</v>
      </c>
      <c r="B20" s="59"/>
      <c r="C20" s="59"/>
      <c r="D20" s="60" t="n">
        <v>663</v>
      </c>
      <c r="E20" s="60" t="n">
        <v>731</v>
      </c>
      <c r="F20" s="60" t="n">
        <v>540</v>
      </c>
      <c r="G20" s="60" t="n">
        <v>291</v>
      </c>
      <c r="H20" s="60" t="n">
        <v>103</v>
      </c>
      <c r="I20" s="60" t="n">
        <v>96</v>
      </c>
      <c r="J20" s="60" t="n">
        <v>30</v>
      </c>
      <c r="K20" s="60" t="n">
        <v>30</v>
      </c>
      <c r="L20" s="61" t="n">
        <v>30</v>
      </c>
      <c r="M20" s="0" t="n">
        <v>97</v>
      </c>
      <c r="N20" s="84" t="n">
        <f aca="false">D20/D4</f>
        <v>0.0495108655066836</v>
      </c>
      <c r="O20" s="84" t="n">
        <f aca="false">E20/E4</f>
        <v>0.0671998529141386</v>
      </c>
      <c r="P20" s="84" t="n">
        <f aca="false">F20/F4</f>
        <v>0.102175969725639</v>
      </c>
      <c r="Q20" s="84" t="n">
        <f aca="false">G20/G4</f>
        <v>0.159190371991247</v>
      </c>
      <c r="R20" s="84" t="n">
        <f aca="false">I20/I4</f>
        <v>0.0919540229885057</v>
      </c>
      <c r="S20" s="84" t="n">
        <f aca="false">J20/J4</f>
        <v>0.0423131170662905</v>
      </c>
      <c r="T20" s="84" t="n">
        <f aca="false">K20/K4</f>
        <v>0.045045045045045</v>
      </c>
      <c r="U20" s="84" t="n">
        <f aca="false">L20/L4</f>
        <v>0.0357568533969011</v>
      </c>
      <c r="V20" s="0"/>
      <c r="W20" s="0"/>
      <c r="X20" s="0"/>
    </row>
    <row r="21" customFormat="false" ht="16.25" hidden="false" customHeight="true" outlineLevel="0" collapsed="false">
      <c r="A21" s="63" t="s">
        <v>40</v>
      </c>
      <c r="B21" s="64"/>
      <c r="C21" s="85"/>
      <c r="D21" s="60" t="n">
        <v>769</v>
      </c>
      <c r="E21" s="60" t="n">
        <v>1014</v>
      </c>
      <c r="F21" s="60" t="n">
        <v>1139</v>
      </c>
      <c r="G21" s="60" t="n">
        <v>413</v>
      </c>
      <c r="H21" s="60"/>
      <c r="I21" s="60"/>
      <c r="J21" s="60" t="n">
        <v>0</v>
      </c>
      <c r="K21" s="60" t="n">
        <v>0</v>
      </c>
      <c r="L21" s="61" t="n">
        <v>0</v>
      </c>
      <c r="M21" s="0"/>
      <c r="N21" s="84" t="n">
        <f aca="false">D21/D5</f>
        <v>0.27493743296389</v>
      </c>
      <c r="O21" s="84" t="n">
        <f aca="false">E21/E5</f>
        <v>0.362013566583363</v>
      </c>
      <c r="P21" s="84" t="n">
        <f aca="false">F21/F5</f>
        <v>0.963620981387479</v>
      </c>
      <c r="Q21" s="84" t="e">
        <f aca="false">G21/G5</f>
        <v>#DIV/0!</v>
      </c>
      <c r="R21" s="84" t="e">
        <f aca="false">I21/I5</f>
        <v>#DIV/0!</v>
      </c>
      <c r="S21" s="84" t="e">
        <f aca="false">J21/J5</f>
        <v>#DIV/0!</v>
      </c>
      <c r="T21" s="84" t="e">
        <f aca="false">K21/K5</f>
        <v>#DIV/0!</v>
      </c>
      <c r="U21" s="84" t="e">
        <f aca="false">L21/L5</f>
        <v>#DIV/0!</v>
      </c>
      <c r="V21" s="0"/>
      <c r="W21" s="0"/>
      <c r="X21" s="0"/>
    </row>
    <row r="22" customFormat="false" ht="15" hidden="false" customHeight="true" outlineLevel="0" collapsed="false">
      <c r="A22" s="66" t="s">
        <v>41</v>
      </c>
      <c r="B22" s="67"/>
      <c r="C22" s="86"/>
      <c r="D22" s="60" t="n">
        <v>6378</v>
      </c>
      <c r="E22" s="60" t="n">
        <v>6148</v>
      </c>
      <c r="F22" s="60" t="n">
        <v>4605</v>
      </c>
      <c r="G22" s="60" t="n">
        <v>1919</v>
      </c>
      <c r="H22" s="60" t="n">
        <v>298</v>
      </c>
      <c r="I22" s="60" t="n">
        <v>367</v>
      </c>
      <c r="J22" s="60" t="n">
        <v>105</v>
      </c>
      <c r="K22" s="60" t="n">
        <v>108</v>
      </c>
      <c r="L22" s="61" t="n">
        <v>147</v>
      </c>
      <c r="M22" s="0" t="n">
        <v>106</v>
      </c>
      <c r="N22" s="84" t="n">
        <f aca="false">D22/D6</f>
        <v>0.0848104463917663</v>
      </c>
      <c r="O22" s="84" t="n">
        <f aca="false">E22/E6</f>
        <v>0.109652564742812</v>
      </c>
      <c r="P22" s="84" t="n">
        <f aca="false">F22/F6</f>
        <v>0.188714039832801</v>
      </c>
      <c r="Q22" s="84" t="n">
        <f aca="false">G22/G6</f>
        <v>0.202897018397124</v>
      </c>
      <c r="R22" s="84" t="n">
        <f aca="false">I22/I6</f>
        <v>0.0852497096399535</v>
      </c>
      <c r="S22" s="84" t="n">
        <f aca="false">J22/J6</f>
        <v>0.0408242612752722</v>
      </c>
      <c r="T22" s="84" t="n">
        <f aca="false">K22/K6</f>
        <v>0.0430107526881721</v>
      </c>
      <c r="U22" s="84" t="n">
        <f aca="false">L22/L6</f>
        <v>0.0495616992582603</v>
      </c>
      <c r="V22" s="0"/>
      <c r="W22" s="0"/>
      <c r="X22" s="0"/>
    </row>
    <row r="23" customFormat="false" ht="15" hidden="false" customHeight="true" outlineLevel="0" collapsed="false">
      <c r="A23" s="58" t="s">
        <v>42</v>
      </c>
      <c r="B23" s="59"/>
      <c r="C23" s="59"/>
      <c r="D23" s="60" t="n">
        <v>5</v>
      </c>
      <c r="E23" s="60" t="n">
        <v>2</v>
      </c>
      <c r="F23" s="60" t="n">
        <v>24</v>
      </c>
      <c r="G23" s="60" t="n">
        <v>29</v>
      </c>
      <c r="H23" s="60" t="n">
        <v>7</v>
      </c>
      <c r="I23" s="60" t="n">
        <v>8</v>
      </c>
      <c r="J23" s="60" t="n">
        <v>13</v>
      </c>
      <c r="K23" s="60" t="n">
        <v>1</v>
      </c>
      <c r="L23" s="61" t="n">
        <v>3</v>
      </c>
      <c r="M23" s="0" t="n">
        <v>1</v>
      </c>
      <c r="N23" s="84" t="n">
        <f aca="false">D23/D7</f>
        <v>0.0595238095238095</v>
      </c>
      <c r="O23" s="84" t="n">
        <f aca="false">E23/E7</f>
        <v>0.0298507462686567</v>
      </c>
      <c r="P23" s="84" t="n">
        <f aca="false">F23/F7</f>
        <v>0.17910447761194</v>
      </c>
      <c r="Q23" s="84" t="n">
        <f aca="false">G23/G7</f>
        <v>0.568627450980392</v>
      </c>
      <c r="R23" s="84" t="n">
        <f aca="false">I23/I7</f>
        <v>0.285714285714286</v>
      </c>
      <c r="S23" s="84" t="n">
        <f aca="false">J23/J7</f>
        <v>3.25</v>
      </c>
      <c r="T23" s="84" t="n">
        <f aca="false">K23/K7</f>
        <v>0.166666666666667</v>
      </c>
      <c r="U23" s="84" t="n">
        <f aca="false">L23/L7</f>
        <v>0.15</v>
      </c>
      <c r="V23" s="0"/>
      <c r="W23" s="0"/>
      <c r="X23" s="0"/>
    </row>
    <row r="24" customFormat="false" ht="15" hidden="false" customHeight="true" outlineLevel="0" collapsed="false">
      <c r="A24" s="58" t="s">
        <v>43</v>
      </c>
      <c r="B24" s="59"/>
      <c r="C24" s="59"/>
      <c r="D24" s="60" t="n">
        <v>146</v>
      </c>
      <c r="E24" s="60" t="n">
        <v>88</v>
      </c>
      <c r="F24" s="60" t="n">
        <v>86</v>
      </c>
      <c r="G24" s="60" t="n">
        <v>29</v>
      </c>
      <c r="H24" s="60" t="n">
        <v>30</v>
      </c>
      <c r="I24" s="60" t="n">
        <v>18</v>
      </c>
      <c r="J24" s="60" t="n">
        <v>11</v>
      </c>
      <c r="K24" s="60" t="n">
        <v>7</v>
      </c>
      <c r="L24" s="61" t="n">
        <v>19</v>
      </c>
      <c r="M24" s="0" t="n">
        <v>8</v>
      </c>
      <c r="N24" s="84" t="n">
        <f aca="false">D24/D8</f>
        <v>0.0671264367816092</v>
      </c>
      <c r="O24" s="84" t="n">
        <f aca="false">E24/E8</f>
        <v>0.049079754601227</v>
      </c>
      <c r="P24" s="84" t="n">
        <f aca="false">F24/F8</f>
        <v>0.0907172995780591</v>
      </c>
      <c r="Q24" s="84" t="n">
        <f aca="false">G24/G8</f>
        <v>0.0508771929824561</v>
      </c>
      <c r="R24" s="84" t="n">
        <f aca="false">I24/I8</f>
        <v>0.0434782608695652</v>
      </c>
      <c r="S24" s="84" t="n">
        <f aca="false">J24/J8</f>
        <v>0.0369127516778524</v>
      </c>
      <c r="T24" s="84" t="n">
        <f aca="false">K24/K8</f>
        <v>0.0238095238095238</v>
      </c>
      <c r="U24" s="84" t="n">
        <f aca="false">L24/L8</f>
        <v>0.0693430656934307</v>
      </c>
      <c r="V24" s="0"/>
      <c r="W24" s="0"/>
      <c r="X24" s="0"/>
    </row>
    <row r="25" customFormat="false" ht="15" hidden="false" customHeight="true" outlineLevel="0" collapsed="false">
      <c r="A25" s="58" t="s">
        <v>44</v>
      </c>
      <c r="B25" s="59"/>
      <c r="C25" s="59"/>
      <c r="D25" s="60" t="n">
        <v>2090</v>
      </c>
      <c r="E25" s="60" t="n">
        <v>1695</v>
      </c>
      <c r="F25" s="60" t="n">
        <v>1960</v>
      </c>
      <c r="G25" s="60" t="n">
        <v>1033</v>
      </c>
      <c r="H25" s="60" t="n">
        <v>774</v>
      </c>
      <c r="I25" s="60" t="n">
        <v>582</v>
      </c>
      <c r="J25" s="60" t="n">
        <v>527</v>
      </c>
      <c r="K25" s="60" t="n">
        <v>307</v>
      </c>
      <c r="L25" s="61" t="n">
        <v>427</v>
      </c>
      <c r="M25" s="0" t="n">
        <v>450</v>
      </c>
      <c r="N25" s="84" t="n">
        <f aca="false">D25/D9</f>
        <v>0.0436079871471196</v>
      </c>
      <c r="O25" s="84" t="n">
        <f aca="false">E25/E9</f>
        <v>0.0457860615883306</v>
      </c>
      <c r="P25" s="84" t="n">
        <f aca="false">F25/F9</f>
        <v>0.104728827144002</v>
      </c>
      <c r="Q25" s="84" t="n">
        <f aca="false">G25/G9</f>
        <v>0.112002602190177</v>
      </c>
      <c r="R25" s="84" t="n">
        <f aca="false">I25/I9</f>
        <v>0.0974384731290809</v>
      </c>
      <c r="S25" s="84" t="n">
        <f aca="false">J25/J9</f>
        <v>0.119015356820235</v>
      </c>
      <c r="T25" s="84" t="n">
        <f aca="false">K25/K9</f>
        <v>0.0691753041910771</v>
      </c>
      <c r="U25" s="84" t="n">
        <f aca="false">L25/L9</f>
        <v>0.0924642702468601</v>
      </c>
      <c r="V25" s="0"/>
      <c r="W25" s="0"/>
      <c r="X25" s="0"/>
    </row>
    <row r="26" customFormat="false" ht="15.8" hidden="false" customHeight="true" outlineLevel="0" collapsed="false">
      <c r="A26" s="66" t="s">
        <v>45</v>
      </c>
      <c r="B26" s="67"/>
      <c r="C26" s="86"/>
      <c r="D26" s="60" t="n">
        <v>195</v>
      </c>
      <c r="E26" s="60" t="n">
        <v>96</v>
      </c>
      <c r="F26" s="60" t="n">
        <v>171</v>
      </c>
      <c r="G26" s="60" t="n">
        <v>146</v>
      </c>
      <c r="H26" s="60" t="n">
        <v>85</v>
      </c>
      <c r="I26" s="60" t="n">
        <v>71</v>
      </c>
      <c r="J26" s="60" t="n">
        <v>42</v>
      </c>
      <c r="K26" s="60" t="n">
        <v>44</v>
      </c>
      <c r="L26" s="61" t="n">
        <v>40</v>
      </c>
      <c r="M26" s="0" t="n">
        <v>43</v>
      </c>
      <c r="N26" s="84" t="n">
        <f aca="false">D26/D10</f>
        <v>0.0447350309704061</v>
      </c>
      <c r="O26" s="84" t="n">
        <f aca="false">E26/E10</f>
        <v>0.0263374485596708</v>
      </c>
      <c r="P26" s="84" t="n">
        <f aca="false">F26/F10</f>
        <v>0.0779043280182232</v>
      </c>
      <c r="Q26" s="84" t="n">
        <f aca="false">G26/G10</f>
        <v>0.137476459510358</v>
      </c>
      <c r="R26" s="84" t="n">
        <f aca="false">I26/I10</f>
        <v>0.115635179153094</v>
      </c>
      <c r="S26" s="84" t="n">
        <f aca="false">J26/J10</f>
        <v>0.0848484848484848</v>
      </c>
      <c r="T26" s="84" t="n">
        <f aca="false">K26/K10</f>
        <v>0.0897959183673469</v>
      </c>
      <c r="U26" s="84" t="n">
        <f aca="false">L26/L10</f>
        <v>0.0760456273764259</v>
      </c>
      <c r="V26" s="0"/>
      <c r="W26" s="0"/>
      <c r="X26" s="0"/>
    </row>
    <row r="27" customFormat="false" ht="15.75" hidden="false" customHeight="true" outlineLevel="0" collapsed="false">
      <c r="A27" s="58"/>
      <c r="B27" s="59"/>
      <c r="C27" s="60"/>
      <c r="D27" s="69" t="n">
        <f aca="false">SUM(D19:D26)</f>
        <v>10264</v>
      </c>
      <c r="E27" s="69" t="n">
        <f aca="false">SUM(E19:E26)</f>
        <v>9789</v>
      </c>
      <c r="F27" s="69" t="n">
        <f aca="false">SUM(F19:F26)</f>
        <v>8540</v>
      </c>
      <c r="G27" s="69" t="n">
        <f aca="false">SUM(G19:G26)</f>
        <v>3866</v>
      </c>
      <c r="H27" s="69" t="n">
        <f aca="false">SUM(H19:H26)</f>
        <v>1299</v>
      </c>
      <c r="I27" s="69" t="n">
        <f aca="false">SUM(I19:I26)</f>
        <v>1144</v>
      </c>
      <c r="J27" s="69" t="n">
        <f aca="false">SUM(J19:J26)</f>
        <v>728</v>
      </c>
      <c r="K27" s="69" t="n">
        <f aca="false">SUM(K19:K26)</f>
        <v>497</v>
      </c>
      <c r="L27" s="70" t="n">
        <f aca="false">SUM(L19:L26)</f>
        <v>668</v>
      </c>
      <c r="M27" s="0" t="n">
        <v>705</v>
      </c>
      <c r="N27" s="84" t="n">
        <f aca="false">D27/D11</f>
        <v>0.070118389681721</v>
      </c>
      <c r="O27" s="84" t="n">
        <f aca="false">E27/E11</f>
        <v>0.086922161643787</v>
      </c>
      <c r="P27" s="84" t="n">
        <f aca="false">F27/F11</f>
        <v>0.16094683477507</v>
      </c>
      <c r="Q27" s="84" t="n">
        <f aca="false">G27/G11</f>
        <v>0.173877844742287</v>
      </c>
      <c r="R27" s="84" t="n">
        <f aca="false">I27/I11</f>
        <v>0.092154019655228</v>
      </c>
      <c r="S27" s="84" t="n">
        <f aca="false">J27/J11</f>
        <v>0.0853858784893268</v>
      </c>
      <c r="T27" s="84" t="n">
        <f aca="false">K27/K11</f>
        <v>0.0590051050694527</v>
      </c>
      <c r="U27" s="84" t="n">
        <f aca="false">L27/L11</f>
        <v>0.0720448662640207</v>
      </c>
      <c r="V27" s="0"/>
      <c r="W27" s="0"/>
      <c r="X27" s="0"/>
    </row>
    <row r="28" customFormat="false" ht="15" hidden="false" customHeight="true" outlineLevel="0" collapsed="false">
      <c r="A28" s="87" t="s">
        <v>53</v>
      </c>
      <c r="B28" s="88"/>
      <c r="C28" s="59"/>
      <c r="D28" s="60"/>
      <c r="E28" s="60"/>
      <c r="F28" s="60"/>
      <c r="G28" s="60"/>
      <c r="H28" s="60"/>
      <c r="I28" s="60"/>
      <c r="J28" s="60"/>
      <c r="K28" s="60"/>
      <c r="L28" s="61"/>
      <c r="M28" s="0"/>
      <c r="N28" s="89" t="s">
        <v>54</v>
      </c>
      <c r="O28" s="84"/>
      <c r="P28" s="84"/>
      <c r="Q28" s="84"/>
      <c r="R28" s="84"/>
      <c r="S28" s="84"/>
      <c r="T28" s="84"/>
      <c r="U28" s="84"/>
      <c r="V28" s="0"/>
      <c r="W28" s="0"/>
      <c r="X28" s="0"/>
    </row>
    <row r="29" customFormat="false" ht="15" hidden="false" customHeight="true" outlineLevel="0" collapsed="false">
      <c r="A29" s="58" t="s">
        <v>38</v>
      </c>
      <c r="B29" s="59"/>
      <c r="C29" s="59"/>
      <c r="D29" s="60" t="n">
        <v>18</v>
      </c>
      <c r="E29" s="60" t="n">
        <v>15</v>
      </c>
      <c r="F29" s="60" t="n">
        <v>15</v>
      </c>
      <c r="G29" s="60" t="n">
        <v>6</v>
      </c>
      <c r="H29" s="60" t="n">
        <v>2</v>
      </c>
      <c r="I29" s="60" t="n">
        <v>2</v>
      </c>
      <c r="J29" s="60" t="n">
        <v>0</v>
      </c>
      <c r="K29" s="60" t="n">
        <v>0</v>
      </c>
      <c r="L29" s="61" t="n">
        <v>2</v>
      </c>
      <c r="M29" s="0"/>
      <c r="N29" s="84" t="n">
        <f aca="false">D29/D3</f>
        <v>0.0404494382022472</v>
      </c>
      <c r="O29" s="84" t="n">
        <f aca="false">E29/E3</f>
        <v>0.0433526011560694</v>
      </c>
      <c r="P29" s="84" t="n">
        <f aca="false">F29/F3</f>
        <v>0.075</v>
      </c>
      <c r="Q29" s="84" t="n">
        <f aca="false">G29/G3</f>
        <v>0.142857142857143</v>
      </c>
      <c r="R29" s="84" t="n">
        <f aca="false">I29/I3</f>
        <v>0.0555555555555556</v>
      </c>
      <c r="S29" s="84" t="n">
        <f aca="false">J29/J3</f>
        <v>0</v>
      </c>
      <c r="T29" s="84" t="n">
        <f aca="false">K29/K3</f>
        <v>0</v>
      </c>
      <c r="U29" s="84" t="n">
        <f aca="false">L29/L3</f>
        <v>0.0689655172413793</v>
      </c>
      <c r="V29" s="0"/>
      <c r="W29" s="0"/>
      <c r="X29" s="0"/>
    </row>
    <row r="30" customFormat="false" ht="15.75" hidden="false" customHeight="true" outlineLevel="0" collapsed="false">
      <c r="A30" s="58" t="s">
        <v>39</v>
      </c>
      <c r="B30" s="59"/>
      <c r="C30" s="59"/>
      <c r="D30" s="60" t="n">
        <v>663</v>
      </c>
      <c r="E30" s="60" t="n">
        <v>576</v>
      </c>
      <c r="F30" s="60" t="n">
        <v>540</v>
      </c>
      <c r="G30" s="60" t="n">
        <v>291</v>
      </c>
      <c r="H30" s="60" t="n">
        <v>103</v>
      </c>
      <c r="I30" s="60" t="n">
        <v>96</v>
      </c>
      <c r="J30" s="60" t="n">
        <v>33</v>
      </c>
      <c r="K30" s="60" t="n">
        <v>33</v>
      </c>
      <c r="L30" s="61" t="n">
        <v>30</v>
      </c>
      <c r="M30" s="0" t="n">
        <v>72</v>
      </c>
      <c r="N30" s="84" t="n">
        <f aca="false">D30/D4</f>
        <v>0.0495108655066836</v>
      </c>
      <c r="O30" s="84" t="n">
        <f aca="false">E30/E4</f>
        <v>0.0529509100937672</v>
      </c>
      <c r="P30" s="84" t="n">
        <f aca="false">F30/F4</f>
        <v>0.102175969725639</v>
      </c>
      <c r="Q30" s="84" t="n">
        <f aca="false">G30/G4</f>
        <v>0.159190371991247</v>
      </c>
      <c r="R30" s="84" t="n">
        <f aca="false">I30/I4</f>
        <v>0.0919540229885057</v>
      </c>
      <c r="S30" s="84" t="n">
        <f aca="false">J30/J4</f>
        <v>0.0465444287729196</v>
      </c>
      <c r="T30" s="84" t="n">
        <f aca="false">K30/K4</f>
        <v>0.0495495495495496</v>
      </c>
      <c r="U30" s="84" t="n">
        <f aca="false">L30/L4</f>
        <v>0.0357568533969011</v>
      </c>
      <c r="V30" s="0"/>
      <c r="W30" s="0"/>
      <c r="X30" s="0"/>
    </row>
    <row r="31" customFormat="false" ht="15" hidden="false" customHeight="true" outlineLevel="0" collapsed="false">
      <c r="A31" s="63" t="s">
        <v>40</v>
      </c>
      <c r="B31" s="64"/>
      <c r="C31" s="85"/>
      <c r="D31" s="60" t="n">
        <v>760</v>
      </c>
      <c r="E31" s="60" t="n">
        <v>1011</v>
      </c>
      <c r="F31" s="60" t="n">
        <v>1039</v>
      </c>
      <c r="G31" s="60" t="n">
        <v>383</v>
      </c>
      <c r="H31" s="60"/>
      <c r="I31" s="60"/>
      <c r="J31" s="60" t="n">
        <v>0</v>
      </c>
      <c r="K31" s="60" t="n">
        <v>0</v>
      </c>
      <c r="L31" s="61" t="n">
        <v>0</v>
      </c>
      <c r="M31" s="0"/>
      <c r="N31" s="84" t="n">
        <f aca="false">D31/D5</f>
        <v>0.271719699678227</v>
      </c>
      <c r="O31" s="84" t="n">
        <f aca="false">E31/E5</f>
        <v>0.360942520528383</v>
      </c>
      <c r="P31" s="84" t="n">
        <f aca="false">F31/F5</f>
        <v>0.879018612521151</v>
      </c>
      <c r="Q31" s="84" t="e">
        <f aca="false">G31/G5</f>
        <v>#DIV/0!</v>
      </c>
      <c r="R31" s="84" t="e">
        <f aca="false">I31/I5</f>
        <v>#DIV/0!</v>
      </c>
      <c r="S31" s="84" t="e">
        <f aca="false">J31/J5</f>
        <v>#DIV/0!</v>
      </c>
      <c r="T31" s="84" t="e">
        <f aca="false">K31/K5</f>
        <v>#DIV/0!</v>
      </c>
      <c r="U31" s="84" t="e">
        <f aca="false">L31/L5</f>
        <v>#DIV/0!</v>
      </c>
      <c r="V31" s="0"/>
      <c r="W31" s="0"/>
      <c r="X31" s="0"/>
    </row>
    <row r="32" customFormat="false" ht="15" hidden="false" customHeight="true" outlineLevel="0" collapsed="false">
      <c r="A32" s="66" t="s">
        <v>41</v>
      </c>
      <c r="B32" s="67"/>
      <c r="C32" s="86"/>
      <c r="D32" s="60" t="n">
        <v>6539</v>
      </c>
      <c r="E32" s="60" t="n">
        <v>6293</v>
      </c>
      <c r="F32" s="60" t="n">
        <v>4671</v>
      </c>
      <c r="G32" s="60" t="n">
        <v>1956</v>
      </c>
      <c r="H32" s="60" t="n">
        <v>298</v>
      </c>
      <c r="I32" s="60" t="n">
        <v>309</v>
      </c>
      <c r="J32" s="60" t="n">
        <v>118</v>
      </c>
      <c r="K32" s="60" t="n">
        <v>114</v>
      </c>
      <c r="L32" s="61" t="n">
        <v>147</v>
      </c>
      <c r="M32" s="0" t="n">
        <v>153</v>
      </c>
      <c r="N32" s="84" t="n">
        <f aca="false">D32/D6</f>
        <v>0.0869513184314456</v>
      </c>
      <c r="O32" s="84" t="n">
        <f aca="false">E32/E6</f>
        <v>0.11223871013769</v>
      </c>
      <c r="P32" s="84" t="n">
        <f aca="false">F32/F6</f>
        <v>0.191418736169166</v>
      </c>
      <c r="Q32" s="84" t="n">
        <f aca="false">G32/G6</f>
        <v>0.206809050539226</v>
      </c>
      <c r="R32" s="84" t="n">
        <f aca="false">I32/I6</f>
        <v>0.0717770034843206</v>
      </c>
      <c r="S32" s="84" t="n">
        <f aca="false">J32/J6</f>
        <v>0.0458786936236392</v>
      </c>
      <c r="T32" s="84" t="n">
        <f aca="false">K32/K6</f>
        <v>0.0454002389486261</v>
      </c>
      <c r="U32" s="84" t="n">
        <f aca="false">L32/L6</f>
        <v>0.0495616992582603</v>
      </c>
      <c r="V32" s="0"/>
      <c r="W32" s="0"/>
      <c r="X32" s="0"/>
    </row>
    <row r="33" customFormat="false" ht="15" hidden="false" customHeight="true" outlineLevel="0" collapsed="false">
      <c r="A33" s="58" t="s">
        <v>42</v>
      </c>
      <c r="B33" s="59"/>
      <c r="C33" s="59"/>
      <c r="D33" s="60" t="n">
        <v>7</v>
      </c>
      <c r="E33" s="60" t="n">
        <v>3</v>
      </c>
      <c r="F33" s="60" t="n">
        <v>9</v>
      </c>
      <c r="G33" s="60" t="n">
        <v>18</v>
      </c>
      <c r="H33" s="60" t="n">
        <v>7</v>
      </c>
      <c r="I33" s="60" t="n">
        <v>8</v>
      </c>
      <c r="J33" s="60" t="n">
        <v>7</v>
      </c>
      <c r="K33" s="60" t="n">
        <v>1</v>
      </c>
      <c r="L33" s="61" t="n">
        <v>3</v>
      </c>
      <c r="M33" s="0" t="n">
        <v>1</v>
      </c>
      <c r="N33" s="84" t="n">
        <f aca="false">D33/D7</f>
        <v>0.0833333333333333</v>
      </c>
      <c r="O33" s="84" t="n">
        <f aca="false">E33/E7</f>
        <v>0.0447761194029851</v>
      </c>
      <c r="P33" s="84" t="n">
        <f aca="false">F33/F7</f>
        <v>0.0671641791044776</v>
      </c>
      <c r="Q33" s="84" t="n">
        <f aca="false">G33/G7</f>
        <v>0.352941176470588</v>
      </c>
      <c r="R33" s="84" t="n">
        <f aca="false">I33/I7</f>
        <v>0.285714285714286</v>
      </c>
      <c r="S33" s="84" t="n">
        <f aca="false">J33/J7</f>
        <v>1.75</v>
      </c>
      <c r="T33" s="84" t="n">
        <f aca="false">K33/K7</f>
        <v>0.166666666666667</v>
      </c>
      <c r="U33" s="84" t="n">
        <f aca="false">L33/L7</f>
        <v>0.15</v>
      </c>
      <c r="V33" s="0"/>
      <c r="W33" s="0"/>
      <c r="X33" s="0"/>
    </row>
    <row r="34" customFormat="false" ht="15" hidden="false" customHeight="true" outlineLevel="0" collapsed="false">
      <c r="A34" s="58" t="s">
        <v>43</v>
      </c>
      <c r="B34" s="59"/>
      <c r="C34" s="59"/>
      <c r="D34" s="60" t="n">
        <v>218</v>
      </c>
      <c r="E34" s="60" t="n">
        <v>124</v>
      </c>
      <c r="F34" s="60" t="n">
        <v>157</v>
      </c>
      <c r="G34" s="60" t="n">
        <v>56</v>
      </c>
      <c r="H34" s="60" t="n">
        <v>30</v>
      </c>
      <c r="I34" s="60" t="n">
        <v>34</v>
      </c>
      <c r="J34" s="60" t="n">
        <v>21</v>
      </c>
      <c r="K34" s="60" t="n">
        <v>13</v>
      </c>
      <c r="L34" s="61" t="n">
        <v>19</v>
      </c>
      <c r="M34" s="0" t="n">
        <v>22</v>
      </c>
      <c r="N34" s="84" t="n">
        <f aca="false">D34/D8</f>
        <v>0.100229885057471</v>
      </c>
      <c r="O34" s="84" t="n">
        <f aca="false">E34/E8</f>
        <v>0.0691578360290017</v>
      </c>
      <c r="P34" s="84" t="n">
        <f aca="false">F34/F8</f>
        <v>0.165611814345992</v>
      </c>
      <c r="Q34" s="84" t="n">
        <f aca="false">G34/G8</f>
        <v>0.0982456140350877</v>
      </c>
      <c r="R34" s="84" t="n">
        <f aca="false">I34/I8</f>
        <v>0.0821256038647343</v>
      </c>
      <c r="S34" s="84" t="n">
        <f aca="false">J34/J8</f>
        <v>0.0704697986577181</v>
      </c>
      <c r="T34" s="84" t="n">
        <f aca="false">K34/K8</f>
        <v>0.0442176870748299</v>
      </c>
      <c r="U34" s="84" t="n">
        <f aca="false">L34/L8</f>
        <v>0.0693430656934307</v>
      </c>
      <c r="V34" s="0"/>
      <c r="W34" s="0"/>
      <c r="X34" s="0"/>
    </row>
    <row r="35" customFormat="false" ht="15" hidden="false" customHeight="true" outlineLevel="0" collapsed="false">
      <c r="A35" s="58" t="s">
        <v>44</v>
      </c>
      <c r="B35" s="59"/>
      <c r="C35" s="59"/>
      <c r="D35" s="60" t="n">
        <v>2056</v>
      </c>
      <c r="E35" s="60" t="n">
        <v>1443</v>
      </c>
      <c r="F35" s="60" t="n">
        <v>1744</v>
      </c>
      <c r="G35" s="60" t="n">
        <v>1042</v>
      </c>
      <c r="H35" s="60" t="n">
        <v>774</v>
      </c>
      <c r="I35" s="60" t="n">
        <v>543</v>
      </c>
      <c r="J35" s="60" t="n">
        <v>550</v>
      </c>
      <c r="K35" s="60" t="n">
        <v>304</v>
      </c>
      <c r="L35" s="61" t="n">
        <v>427</v>
      </c>
      <c r="M35" s="0" t="n">
        <v>453</v>
      </c>
      <c r="N35" s="84" t="n">
        <f aca="false">D35/D9</f>
        <v>0.0428985749160181</v>
      </c>
      <c r="O35" s="84" t="n">
        <f aca="false">E35/E9</f>
        <v>0.0389789303079417</v>
      </c>
      <c r="P35" s="84" t="n">
        <f aca="false">F35/F9</f>
        <v>0.0931872829281325</v>
      </c>
      <c r="Q35" s="84" t="n">
        <f aca="false">G35/G9</f>
        <v>0.112978423506451</v>
      </c>
      <c r="R35" s="84" t="n">
        <f aca="false">I35/I9</f>
        <v>0.0909090909090909</v>
      </c>
      <c r="S35" s="84" t="n">
        <f aca="false">J35/J9</f>
        <v>0.124209575429088</v>
      </c>
      <c r="T35" s="84" t="n">
        <f aca="false">K35/K9</f>
        <v>0.0684993240198287</v>
      </c>
      <c r="U35" s="84" t="n">
        <f aca="false">L35/L9</f>
        <v>0.0924642702468601</v>
      </c>
      <c r="V35" s="0"/>
      <c r="W35" s="0"/>
      <c r="X35" s="0"/>
    </row>
    <row r="36" customFormat="false" ht="15" hidden="false" customHeight="true" outlineLevel="0" collapsed="false">
      <c r="A36" s="66" t="s">
        <v>45</v>
      </c>
      <c r="B36" s="67"/>
      <c r="C36" s="86"/>
      <c r="D36" s="60" t="n">
        <v>184</v>
      </c>
      <c r="E36" s="60" t="n">
        <v>111</v>
      </c>
      <c r="F36" s="60" t="n">
        <v>187</v>
      </c>
      <c r="G36" s="60" t="n">
        <v>166</v>
      </c>
      <c r="H36" s="60" t="n">
        <v>85</v>
      </c>
      <c r="I36" s="60" t="n">
        <v>67</v>
      </c>
      <c r="J36" s="60" t="n">
        <v>42</v>
      </c>
      <c r="K36" s="60" t="n">
        <v>47</v>
      </c>
      <c r="L36" s="61" t="n">
        <v>40</v>
      </c>
      <c r="M36" s="0" t="n">
        <v>43</v>
      </c>
      <c r="N36" s="84" t="n">
        <f aca="false">D36/D10</f>
        <v>0.0422115164028447</v>
      </c>
      <c r="O36" s="84" t="n">
        <f aca="false">E36/E10</f>
        <v>0.0304526748971193</v>
      </c>
      <c r="P36" s="84" t="n">
        <f aca="false">F36/F10</f>
        <v>0.0851936218678816</v>
      </c>
      <c r="Q36" s="84" t="n">
        <f aca="false">G36/G10</f>
        <v>0.156308851224105</v>
      </c>
      <c r="R36" s="84" t="n">
        <f aca="false">I36/I10</f>
        <v>0.109120521172638</v>
      </c>
      <c r="S36" s="84" t="n">
        <f aca="false">J36/J10</f>
        <v>0.0848484848484848</v>
      </c>
      <c r="T36" s="84" t="n">
        <f aca="false">K36/K10</f>
        <v>0.0959183673469388</v>
      </c>
      <c r="U36" s="84" t="n">
        <f aca="false">L36/L10</f>
        <v>0.0760456273764259</v>
      </c>
      <c r="V36" s="0"/>
      <c r="W36" s="0"/>
      <c r="X36" s="0"/>
    </row>
    <row r="37" customFormat="false" ht="16.5" hidden="false" customHeight="true" outlineLevel="0" collapsed="false">
      <c r="A37" s="71"/>
      <c r="B37" s="72"/>
      <c r="C37" s="72"/>
      <c r="D37" s="90" t="n">
        <f aca="false">SUM(D29:D36)</f>
        <v>10445</v>
      </c>
      <c r="E37" s="90" t="n">
        <f aca="false">SUM(E29:E36)</f>
        <v>9576</v>
      </c>
      <c r="F37" s="90" t="n">
        <f aca="false">SUM(F29:F36)</f>
        <v>8362</v>
      </c>
      <c r="G37" s="90" t="n">
        <f aca="false">SUM(G29:G36)</f>
        <v>3918</v>
      </c>
      <c r="H37" s="90" t="n">
        <f aca="false">SUM(H29:H36)</f>
        <v>1299</v>
      </c>
      <c r="I37" s="90" t="n">
        <f aca="false">SUM(I29:I36)</f>
        <v>1059</v>
      </c>
      <c r="J37" s="90" t="n">
        <f aca="false">SUM(J29:J36)</f>
        <v>771</v>
      </c>
      <c r="K37" s="90" t="n">
        <f aca="false">SUM(K29:K36)</f>
        <v>512</v>
      </c>
      <c r="L37" s="91" t="n">
        <f aca="false">SUM(L29:L36)</f>
        <v>668</v>
      </c>
      <c r="M37" s="0" t="n">
        <v>744</v>
      </c>
      <c r="N37" s="84" t="n">
        <f aca="false">D37/D11</f>
        <v>0.0713548889541676</v>
      </c>
      <c r="O37" s="84" t="n">
        <f aca="false">E37/E11</f>
        <v>0.0850308121259479</v>
      </c>
      <c r="P37" s="84" t="n">
        <f aca="false">F37/F11</f>
        <v>0.157592205197791</v>
      </c>
      <c r="Q37" s="84" t="n">
        <f aca="false">G37/G11</f>
        <v>0.176216605199244</v>
      </c>
      <c r="R37" s="84" t="n">
        <f aca="false">I37/I11</f>
        <v>0.0853069115514741</v>
      </c>
      <c r="S37" s="84" t="n">
        <f aca="false">J37/J11</f>
        <v>0.0904292751583392</v>
      </c>
      <c r="T37" s="84" t="n">
        <f aca="false">K37/K11</f>
        <v>0.0607859432506233</v>
      </c>
      <c r="U37" s="84" t="n">
        <f aca="false">L37/L11</f>
        <v>0.0720448662640207</v>
      </c>
      <c r="V37" s="0"/>
      <c r="W37" s="0"/>
      <c r="X37" s="0"/>
    </row>
    <row r="38" customFormat="false" ht="15.75" hidden="false" customHeight="true" outlineLevel="0" collapsed="false">
      <c r="A38" s="2"/>
      <c r="B38" s="2"/>
      <c r="C38" s="0"/>
      <c r="D38" s="0"/>
      <c r="E38" s="0"/>
      <c r="F38" s="0"/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</row>
    <row r="39" customFormat="false" ht="15.75" hidden="false" customHeight="true" outlineLevel="0" collapsed="false">
      <c r="A39" s="2"/>
      <c r="B39" s="55" t="n">
        <v>2006</v>
      </c>
      <c r="C39" s="56" t="n">
        <v>2007</v>
      </c>
      <c r="D39" s="56" t="n">
        <v>2008</v>
      </c>
      <c r="E39" s="56" t="n">
        <v>2009</v>
      </c>
      <c r="F39" s="56" t="n">
        <v>2010</v>
      </c>
      <c r="G39" s="56" t="n">
        <v>2011</v>
      </c>
      <c r="H39" s="56" t="s">
        <v>55</v>
      </c>
      <c r="I39" s="56" t="n">
        <v>2012</v>
      </c>
      <c r="J39" s="56" t="n">
        <v>2013</v>
      </c>
      <c r="K39" s="56" t="n">
        <v>2014</v>
      </c>
      <c r="L39" s="57" t="n">
        <v>2015</v>
      </c>
      <c r="M39" s="0" t="n">
        <v>2015</v>
      </c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</row>
    <row r="40" customFormat="false" ht="17" hidden="false" customHeight="true" outlineLevel="0" collapsed="false">
      <c r="A40" s="92" t="s">
        <v>56</v>
      </c>
      <c r="B40" s="93"/>
      <c r="C40" s="93"/>
      <c r="D40" s="94"/>
      <c r="E40" s="94"/>
      <c r="F40" s="94"/>
      <c r="G40" s="94"/>
      <c r="H40" s="94"/>
      <c r="I40" s="94"/>
      <c r="J40" s="94"/>
      <c r="K40" s="94"/>
      <c r="L40" s="95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</row>
    <row r="41" customFormat="false" ht="15.8" hidden="false" customHeight="true" outlineLevel="0" collapsed="false">
      <c r="A41" s="96" t="s">
        <v>38</v>
      </c>
      <c r="B41" s="97" t="n">
        <v>24534615</v>
      </c>
      <c r="C41" s="98" t="n">
        <v>23855663</v>
      </c>
      <c r="D41" s="98" t="n">
        <v>25507758</v>
      </c>
      <c r="E41" s="98" t="n">
        <v>21340119</v>
      </c>
      <c r="F41" s="98" t="n">
        <v>13029144</v>
      </c>
      <c r="G41" s="98" t="n">
        <v>2961874</v>
      </c>
      <c r="H41" s="98" t="n">
        <v>3363601</v>
      </c>
      <c r="I41" s="98" t="n">
        <v>2667120</v>
      </c>
      <c r="J41" s="98" t="n">
        <v>1507163</v>
      </c>
      <c r="K41" s="98" t="n">
        <v>1337191</v>
      </c>
      <c r="L41" s="99" t="n">
        <v>1961366</v>
      </c>
      <c r="M41" s="0" t="n">
        <v>1324685</v>
      </c>
      <c r="N41" s="62" t="n">
        <f aca="false">D41-E41</f>
        <v>4167639</v>
      </c>
      <c r="O41" s="62" t="n">
        <f aca="false">E41-F41</f>
        <v>8310975</v>
      </c>
      <c r="P41" s="62" t="n">
        <f aca="false">F41-G41</f>
        <v>10067270</v>
      </c>
      <c r="Q41" s="62" t="n">
        <f aca="false">G41-I41</f>
        <v>294754</v>
      </c>
      <c r="R41" s="62" t="n">
        <f aca="false">I41-J41</f>
        <v>1159957</v>
      </c>
      <c r="S41" s="62" t="n">
        <f aca="false">J41-K41</f>
        <v>169972</v>
      </c>
      <c r="T41" s="62" t="n">
        <f aca="false">K41-L41</f>
        <v>-624175</v>
      </c>
      <c r="U41" s="62" t="n">
        <f aca="false">L41-M41</f>
        <v>636681</v>
      </c>
      <c r="V41" s="0"/>
      <c r="W41" s="0"/>
      <c r="X41" s="0"/>
    </row>
    <row r="42" customFormat="false" ht="15.75" hidden="false" customHeight="true" outlineLevel="0" collapsed="false">
      <c r="A42" s="96" t="s">
        <v>39</v>
      </c>
      <c r="B42" s="97" t="n">
        <v>900680034</v>
      </c>
      <c r="C42" s="98" t="n">
        <v>865854076</v>
      </c>
      <c r="D42" s="98" t="n">
        <v>881911585</v>
      </c>
      <c r="E42" s="98" t="n">
        <v>764740308</v>
      </c>
      <c r="F42" s="98" t="n">
        <v>390993389</v>
      </c>
      <c r="G42" s="98" t="n">
        <v>145415220</v>
      </c>
      <c r="H42" s="98" t="n">
        <v>139056856</v>
      </c>
      <c r="I42" s="98" t="n">
        <v>86973205</v>
      </c>
      <c r="J42" s="98" t="n">
        <v>60406641</v>
      </c>
      <c r="K42" s="98" t="n">
        <v>52845756</v>
      </c>
      <c r="L42" s="99" t="n">
        <v>64355110</v>
      </c>
      <c r="M42" s="0" t="n">
        <v>39824306</v>
      </c>
      <c r="N42" s="62" t="n">
        <f aca="false">D42-E42</f>
        <v>117171277</v>
      </c>
      <c r="O42" s="62" t="n">
        <f aca="false">E42-F42</f>
        <v>373746919</v>
      </c>
      <c r="P42" s="62" t="n">
        <f aca="false">F42-G42</f>
        <v>245578169</v>
      </c>
      <c r="Q42" s="62" t="n">
        <f aca="false">G42-I42</f>
        <v>58442015</v>
      </c>
      <c r="R42" s="62" t="n">
        <f aca="false">I42-J42</f>
        <v>26566564</v>
      </c>
      <c r="S42" s="62" t="n">
        <f aca="false">J42-K42</f>
        <v>7560885</v>
      </c>
      <c r="T42" s="62" t="n">
        <f aca="false">K42-L42</f>
        <v>-11509354</v>
      </c>
      <c r="U42" s="62" t="n">
        <f aca="false">L42-M42</f>
        <v>24530804</v>
      </c>
      <c r="V42" s="0"/>
      <c r="W42" s="0"/>
      <c r="X42" s="0"/>
    </row>
    <row r="43" customFormat="false" ht="15" hidden="false" customHeight="true" outlineLevel="0" collapsed="false">
      <c r="A43" s="100" t="s">
        <v>40</v>
      </c>
      <c r="B43" s="101" t="n">
        <v>116493363</v>
      </c>
      <c r="C43" s="102" t="n">
        <v>78306363</v>
      </c>
      <c r="D43" s="98" t="n">
        <v>77299179</v>
      </c>
      <c r="E43" s="98" t="n">
        <v>93117010</v>
      </c>
      <c r="F43" s="98" t="n">
        <v>34027086</v>
      </c>
      <c r="G43" s="98"/>
      <c r="H43" s="98"/>
      <c r="I43" s="98"/>
      <c r="J43" s="98"/>
      <c r="K43" s="98"/>
      <c r="L43" s="99"/>
      <c r="M43" s="0"/>
      <c r="N43" s="62" t="n">
        <f aca="false">D43-E43</f>
        <v>-15817831</v>
      </c>
      <c r="O43" s="62" t="n">
        <f aca="false">E43-F43</f>
        <v>59089924</v>
      </c>
      <c r="P43" s="62" t="n">
        <f aca="false">F43-G43</f>
        <v>34027086</v>
      </c>
      <c r="Q43" s="62" t="n">
        <f aca="false">G43-I43</f>
        <v>0</v>
      </c>
      <c r="R43" s="62" t="n">
        <f aca="false">I43-J43</f>
        <v>0</v>
      </c>
      <c r="S43" s="62" t="n">
        <f aca="false">J43-K43</f>
        <v>0</v>
      </c>
      <c r="T43" s="62" t="n">
        <f aca="false">K43-L43</f>
        <v>0</v>
      </c>
      <c r="U43" s="62" t="n">
        <f aca="false">L43-M43</f>
        <v>0</v>
      </c>
      <c r="V43" s="0"/>
      <c r="W43" s="0"/>
      <c r="X43" s="0"/>
    </row>
    <row r="44" customFormat="false" ht="15" hidden="false" customHeight="true" outlineLevel="0" collapsed="false">
      <c r="A44" s="103" t="s">
        <v>41</v>
      </c>
      <c r="B44" s="97" t="n">
        <v>4443763266</v>
      </c>
      <c r="C44" s="98" t="n">
        <v>5102977064</v>
      </c>
      <c r="D44" s="98" t="n">
        <v>5373165533</v>
      </c>
      <c r="E44" s="98" t="n">
        <v>3980578100</v>
      </c>
      <c r="F44" s="98" t="n">
        <v>1931948340</v>
      </c>
      <c r="G44" s="98" t="n">
        <v>800220645</v>
      </c>
      <c r="H44" s="98" t="n">
        <v>591949231</v>
      </c>
      <c r="I44" s="98" t="n">
        <v>381710002</v>
      </c>
      <c r="J44" s="98" t="n">
        <v>233405971</v>
      </c>
      <c r="K44" s="98" t="n">
        <v>235742123</v>
      </c>
      <c r="L44" s="99" t="n">
        <v>245965862</v>
      </c>
      <c r="M44" s="0" t="n">
        <v>198425833</v>
      </c>
      <c r="N44" s="62" t="n">
        <f aca="false">D44-E44</f>
        <v>1392587433</v>
      </c>
      <c r="O44" s="62" t="n">
        <f aca="false">E44-F44</f>
        <v>2048629760</v>
      </c>
      <c r="P44" s="62" t="n">
        <f aca="false">F44-G44</f>
        <v>1131727695</v>
      </c>
      <c r="Q44" s="62" t="n">
        <f aca="false">G44-I44</f>
        <v>418510643</v>
      </c>
      <c r="R44" s="62" t="n">
        <f aca="false">I44-J44</f>
        <v>148304031</v>
      </c>
      <c r="S44" s="62" t="n">
        <f aca="false">J44-K44</f>
        <v>-2336152</v>
      </c>
      <c r="T44" s="62" t="n">
        <f aca="false">K44-L44</f>
        <v>-10223739</v>
      </c>
      <c r="U44" s="62" t="n">
        <f aca="false">L44-M44</f>
        <v>47540029</v>
      </c>
      <c r="V44" s="0"/>
      <c r="W44" s="0"/>
      <c r="X44" s="0"/>
    </row>
    <row r="45" customFormat="false" ht="15" hidden="false" customHeight="true" outlineLevel="0" collapsed="false">
      <c r="A45" s="96" t="s">
        <v>42</v>
      </c>
      <c r="B45" s="97" t="n">
        <v>5063837</v>
      </c>
      <c r="C45" s="98" t="n">
        <v>3850119</v>
      </c>
      <c r="D45" s="98" t="n">
        <v>3804853</v>
      </c>
      <c r="E45" s="98" t="n">
        <v>3298074</v>
      </c>
      <c r="F45" s="98" t="n">
        <v>7011379</v>
      </c>
      <c r="G45" s="98" t="n">
        <v>2866802</v>
      </c>
      <c r="H45" s="98" t="n">
        <v>5223743</v>
      </c>
      <c r="I45" s="98" t="n">
        <v>1702391</v>
      </c>
      <c r="J45" s="98" t="n">
        <v>298792</v>
      </c>
      <c r="K45" s="98" t="n">
        <v>361735</v>
      </c>
      <c r="L45" s="99" t="n">
        <v>1066303</v>
      </c>
      <c r="M45" s="0" t="n">
        <v>347294</v>
      </c>
      <c r="N45" s="62" t="n">
        <f aca="false">D45-E45</f>
        <v>506779</v>
      </c>
      <c r="O45" s="62" t="n">
        <f aca="false">E45-F45</f>
        <v>-3713305</v>
      </c>
      <c r="P45" s="62" t="n">
        <f aca="false">F45-G45</f>
        <v>4144577</v>
      </c>
      <c r="Q45" s="62" t="n">
        <f aca="false">G45-I45</f>
        <v>1164411</v>
      </c>
      <c r="R45" s="62" t="n">
        <f aca="false">I45-J45</f>
        <v>1403599</v>
      </c>
      <c r="S45" s="62" t="n">
        <f aca="false">J45-K45</f>
        <v>-62943</v>
      </c>
      <c r="T45" s="62" t="n">
        <f aca="false">K45-L45</f>
        <v>-704568</v>
      </c>
      <c r="U45" s="62" t="n">
        <f aca="false">L45-M45</f>
        <v>719009</v>
      </c>
      <c r="V45" s="0"/>
      <c r="W45" s="0"/>
      <c r="X45" s="0"/>
    </row>
    <row r="46" customFormat="false" ht="15.8" hidden="false" customHeight="true" outlineLevel="0" collapsed="false">
      <c r="A46" s="96" t="s">
        <v>43</v>
      </c>
      <c r="B46" s="97" t="n">
        <v>142209281</v>
      </c>
      <c r="C46" s="98" t="n">
        <v>141677438</v>
      </c>
      <c r="D46" s="98" t="n">
        <v>152854344</v>
      </c>
      <c r="E46" s="98" t="n">
        <v>137638877</v>
      </c>
      <c r="F46" s="98" t="n">
        <v>39021666</v>
      </c>
      <c r="G46" s="98" t="n">
        <v>47643910</v>
      </c>
      <c r="H46" s="98" t="n">
        <v>59546996</v>
      </c>
      <c r="I46" s="98" t="n">
        <v>36032352</v>
      </c>
      <c r="J46" s="98" t="n">
        <v>26699474</v>
      </c>
      <c r="K46" s="98" t="n">
        <v>28682835</v>
      </c>
      <c r="L46" s="99" t="n">
        <v>22333139</v>
      </c>
      <c r="M46" s="0" t="n">
        <v>28248285</v>
      </c>
      <c r="N46" s="62" t="n">
        <f aca="false">D46-E46</f>
        <v>15215467</v>
      </c>
      <c r="O46" s="62" t="n">
        <f aca="false">E46-F46</f>
        <v>98617211</v>
      </c>
      <c r="P46" s="62" t="n">
        <f aca="false">F46-G46</f>
        <v>-8622244</v>
      </c>
      <c r="Q46" s="62" t="n">
        <f aca="false">G46-I46</f>
        <v>11611558</v>
      </c>
      <c r="R46" s="62" t="n">
        <f aca="false">I46-J46</f>
        <v>9332878</v>
      </c>
      <c r="S46" s="62" t="n">
        <f aca="false">J46-K46</f>
        <v>-1983361</v>
      </c>
      <c r="T46" s="62" t="n">
        <f aca="false">K46-L46</f>
        <v>6349696</v>
      </c>
      <c r="U46" s="62" t="n">
        <f aca="false">L46-M46</f>
        <v>-5915146</v>
      </c>
      <c r="V46" s="0"/>
      <c r="W46" s="0"/>
      <c r="X46" s="0"/>
    </row>
    <row r="47" customFormat="false" ht="15" hidden="false" customHeight="true" outlineLevel="0" collapsed="false">
      <c r="A47" s="96" t="s">
        <v>44</v>
      </c>
      <c r="B47" s="97" t="n">
        <v>1799200379</v>
      </c>
      <c r="C47" s="98" t="n">
        <v>1719931109</v>
      </c>
      <c r="D47" s="98" t="n">
        <v>1774537190</v>
      </c>
      <c r="E47" s="98" t="n">
        <v>1479692775</v>
      </c>
      <c r="F47" s="98" t="n">
        <v>795943724</v>
      </c>
      <c r="G47" s="98" t="n">
        <v>431477835</v>
      </c>
      <c r="H47" s="98" t="n">
        <v>299830510</v>
      </c>
      <c r="I47" s="98" t="n">
        <v>301592702</v>
      </c>
      <c r="J47" s="98" t="n">
        <v>219074656</v>
      </c>
      <c r="K47" s="98" t="n">
        <v>222933876</v>
      </c>
      <c r="L47" s="99" t="n">
        <v>210206389</v>
      </c>
      <c r="M47" s="0" t="n">
        <v>195131119</v>
      </c>
      <c r="N47" s="62" t="n">
        <f aca="false">D47-E47</f>
        <v>294844415</v>
      </c>
      <c r="O47" s="62" t="n">
        <f aca="false">E47-F47</f>
        <v>683749051</v>
      </c>
      <c r="P47" s="62" t="n">
        <f aca="false">F47-G47</f>
        <v>364465889</v>
      </c>
      <c r="Q47" s="62" t="n">
        <f aca="false">G47-I47</f>
        <v>129885133</v>
      </c>
      <c r="R47" s="62" t="n">
        <f aca="false">I47-J47</f>
        <v>82518046</v>
      </c>
      <c r="S47" s="62" t="n">
        <f aca="false">J47-K47</f>
        <v>-3859220</v>
      </c>
      <c r="T47" s="62" t="n">
        <f aca="false">K47-L47</f>
        <v>12727487</v>
      </c>
      <c r="U47" s="62" t="n">
        <f aca="false">L47-M47</f>
        <v>15075270</v>
      </c>
      <c r="V47" s="0"/>
      <c r="W47" s="0"/>
      <c r="X47" s="0"/>
    </row>
    <row r="48" customFormat="false" ht="15" hidden="false" customHeight="true" outlineLevel="0" collapsed="false">
      <c r="A48" s="103" t="s">
        <v>45</v>
      </c>
      <c r="B48" s="97" t="n">
        <v>196661057</v>
      </c>
      <c r="C48" s="98" t="n">
        <v>184291923</v>
      </c>
      <c r="D48" s="98" t="n">
        <v>188593356</v>
      </c>
      <c r="E48" s="98" t="n">
        <v>171715686</v>
      </c>
      <c r="F48" s="98" t="n">
        <v>108136062</v>
      </c>
      <c r="G48" s="98" t="n">
        <v>56984592</v>
      </c>
      <c r="H48" s="98" t="n">
        <v>29536977</v>
      </c>
      <c r="I48" s="98" t="n">
        <v>35283306</v>
      </c>
      <c r="J48" s="98" t="n">
        <v>28144170</v>
      </c>
      <c r="K48" s="98" t="n">
        <v>28603378</v>
      </c>
      <c r="L48" s="99" t="n">
        <v>27181215</v>
      </c>
      <c r="M48" s="0" t="n">
        <v>28112373</v>
      </c>
      <c r="N48" s="62" t="n">
        <f aca="false">D48-E48</f>
        <v>16877670</v>
      </c>
      <c r="O48" s="62" t="n">
        <f aca="false">E48-F48</f>
        <v>63579624</v>
      </c>
      <c r="P48" s="62" t="n">
        <f aca="false">F48-G48</f>
        <v>51151470</v>
      </c>
      <c r="Q48" s="62" t="n">
        <f aca="false">G48-I48</f>
        <v>21701286</v>
      </c>
      <c r="R48" s="62" t="n">
        <f aca="false">I48-J48</f>
        <v>7139136</v>
      </c>
      <c r="S48" s="62" t="n">
        <f aca="false">J48-K48</f>
        <v>-459208</v>
      </c>
      <c r="T48" s="62" t="n">
        <f aca="false">K48-L48</f>
        <v>1422163</v>
      </c>
      <c r="U48" s="62" t="n">
        <f aca="false">L48-M48</f>
        <v>-931158</v>
      </c>
      <c r="V48" s="0"/>
      <c r="W48" s="0"/>
      <c r="X48" s="0"/>
    </row>
    <row r="49" customFormat="false" ht="15.75" hidden="false" customHeight="true" outlineLevel="0" collapsed="false">
      <c r="A49" s="104" t="s">
        <v>57</v>
      </c>
      <c r="B49" s="105" t="n">
        <f aca="false">SUM(B41:B48)</f>
        <v>7628605832</v>
      </c>
      <c r="C49" s="105" t="n">
        <f aca="false">SUM(C41:C48)</f>
        <v>8120743755</v>
      </c>
      <c r="D49" s="105" t="n">
        <f aca="false">SUM(D41:D48)</f>
        <v>8477673798</v>
      </c>
      <c r="E49" s="105" t="n">
        <f aca="false">SUM(E41:E48)</f>
        <v>6652120949</v>
      </c>
      <c r="F49" s="105" t="n">
        <f aca="false">SUM(F41:F48)</f>
        <v>3320110790</v>
      </c>
      <c r="G49" s="105" t="n">
        <f aca="false">SUM(G41:G48)</f>
        <v>1487570878</v>
      </c>
      <c r="H49" s="105" t="n">
        <f aca="false">SUM(H41:H48)</f>
        <v>1128507914</v>
      </c>
      <c r="I49" s="105" t="n">
        <f aca="false">SUM(I41:I48)</f>
        <v>845961078</v>
      </c>
      <c r="J49" s="105" t="n">
        <f aca="false">SUM(J41:J48)</f>
        <v>569536867</v>
      </c>
      <c r="K49" s="105" t="n">
        <f aca="false">SUM(K41:K48)</f>
        <v>570506894</v>
      </c>
      <c r="L49" s="106" t="n">
        <f aca="false">SUM(L41:L48)</f>
        <v>573069384</v>
      </c>
      <c r="M49" s="106" t="n">
        <f aca="false">SUM(M41:M48)</f>
        <v>491413895</v>
      </c>
      <c r="N49" s="62" t="n">
        <f aca="false">D49-E49</f>
        <v>1825552849</v>
      </c>
      <c r="O49" s="62" t="n">
        <f aca="false">E49-F49</f>
        <v>3332010159</v>
      </c>
      <c r="P49" s="62" t="n">
        <f aca="false">F49-G49</f>
        <v>1832539912</v>
      </c>
      <c r="Q49" s="62" t="n">
        <f aca="false">G49-I49</f>
        <v>641609800</v>
      </c>
      <c r="R49" s="62" t="n">
        <f aca="false">I49-J49</f>
        <v>276424211</v>
      </c>
      <c r="S49" s="62" t="n">
        <f aca="false">J49-K49</f>
        <v>-970027</v>
      </c>
      <c r="T49" s="62" t="n">
        <f aca="false">K49-L49</f>
        <v>-2562490</v>
      </c>
      <c r="U49" s="62" t="n">
        <f aca="false">L49-M49</f>
        <v>81655489</v>
      </c>
      <c r="V49" s="62"/>
      <c r="W49" s="62"/>
      <c r="X49" s="62"/>
    </row>
    <row r="50" customFormat="false" ht="15.8" hidden="false" customHeight="true" outlineLevel="0" collapsed="false">
      <c r="A50" s="107" t="s">
        <v>58</v>
      </c>
      <c r="B50" s="108" t="n">
        <f aca="false">B78*1000000+B49</f>
        <v>7628605832</v>
      </c>
      <c r="C50" s="108" t="n">
        <f aca="false">C78*1000000+C49</f>
        <v>8120743755</v>
      </c>
      <c r="D50" s="108" t="n">
        <f aca="false">D78*1000000+D49</f>
        <v>8477673798</v>
      </c>
      <c r="E50" s="108" t="n">
        <f aca="false">E78*1000000+E49</f>
        <v>8694890949</v>
      </c>
      <c r="F50" s="108" t="n">
        <f aca="false">F78*1000000+F49</f>
        <v>9121410790</v>
      </c>
      <c r="G50" s="108" t="n">
        <f aca="false">G78*1000000+G49</f>
        <v>9347870878</v>
      </c>
      <c r="H50" s="108" t="n">
        <f aca="false">H78*1000000+H49</f>
        <v>9312697914</v>
      </c>
      <c r="I50" s="108" t="n">
        <f aca="false">I78*1000000+I49</f>
        <v>9502761078</v>
      </c>
      <c r="J50" s="108" t="n">
        <f aca="false">J78*1000000+J49</f>
        <v>9769336867</v>
      </c>
      <c r="K50" s="108" t="n">
        <f aca="false">K78*1000000+K49</f>
        <v>9867106894</v>
      </c>
      <c r="L50" s="108" t="n">
        <f aca="false">L78*1000000+L49</f>
        <v>9791499384</v>
      </c>
      <c r="M50" s="108" t="n">
        <f aca="false">M78*1000000+M49</f>
        <v>10015413895</v>
      </c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customFormat="false" ht="15.8" hidden="false" customHeight="true" outlineLevel="0" collapsed="false">
      <c r="A51" s="107" t="s">
        <v>59</v>
      </c>
      <c r="B51" s="108" t="n">
        <f aca="false">B50/B15</f>
        <v>45996.7430524989</v>
      </c>
      <c r="C51" s="108" t="n">
        <f aca="false">C50/C15</f>
        <v>48964.3880313536</v>
      </c>
      <c r="D51" s="108" t="n">
        <f aca="false">D50/D15</f>
        <v>51681.4730701</v>
      </c>
      <c r="E51" s="108" t="n">
        <f aca="false">E50/E15</f>
        <v>52556.1590244197</v>
      </c>
      <c r="F51" s="108" t="n">
        <f aca="false">F50/F15</f>
        <v>55047.4094302388</v>
      </c>
      <c r="G51" s="108" t="n">
        <f aca="false">G50/G15</f>
        <v>57622.5196824184</v>
      </c>
      <c r="H51" s="108" t="n">
        <f aca="false">H50/H15</f>
        <v>56680.0235783887</v>
      </c>
      <c r="I51" s="108" t="n">
        <f aca="false">I50/I15</f>
        <v>59583.6692750461</v>
      </c>
      <c r="J51" s="108" t="n">
        <f aca="false">J50/J15</f>
        <v>61602.7698977211</v>
      </c>
      <c r="K51" s="108" t="n">
        <f aca="false">K50/K15</f>
        <v>62136.216413305</v>
      </c>
      <c r="L51" s="108" t="n">
        <f aca="false">L50/L15</f>
        <v>57428.1488797654</v>
      </c>
      <c r="M51" s="108" t="n">
        <f aca="false">M50/M15</f>
        <v>62949.6417078352</v>
      </c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</row>
    <row r="52" customFormat="false" ht="15.8" hidden="false" customHeight="true" outlineLevel="0" collapsed="false">
      <c r="A52" s="76" t="s">
        <v>60</v>
      </c>
      <c r="B52" s="76"/>
      <c r="C52" s="109"/>
      <c r="D52" s="109"/>
      <c r="E52" s="109"/>
      <c r="F52" s="110" t="n">
        <f aca="false">(F50-F49)/F13</f>
        <v>51503.0184659091</v>
      </c>
      <c r="G52" s="110" t="n">
        <f aca="false">(G50-G49)/G13</f>
        <v>56148.2084690554</v>
      </c>
      <c r="H52" s="110" t="n">
        <f aca="false">(H50-H49)/H13</f>
        <v>55672.8682697867</v>
      </c>
      <c r="I52" s="110" t="n">
        <f aca="false">(I50-I49)/I13</f>
        <v>58860.9660574413</v>
      </c>
      <c r="J52" s="110" t="n">
        <f aca="false">(J50-J49)/J13</f>
        <v>61307.4770091963</v>
      </c>
      <c r="K52" s="110" t="n">
        <f aca="false">(K50-K49)/K13</f>
        <v>61822.7763923525</v>
      </c>
      <c r="L52" s="110" t="n">
        <f aca="false">(L50-L49)/L13</f>
        <v>57176.3589450964</v>
      </c>
      <c r="M52" s="110" t="n">
        <f aca="false">(M50-M49)/M13</f>
        <v>62662.0172379762</v>
      </c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</row>
    <row r="53" customFormat="false" ht="15.8" hidden="false" customHeight="true" outlineLevel="0" collapsed="false">
      <c r="A53" s="2"/>
      <c r="B53" s="2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</row>
    <row r="54" customFormat="false" ht="15.8" hidden="false" customHeight="true" outlineLevel="0" collapsed="false">
      <c r="A54" s="2" t="s">
        <v>61</v>
      </c>
      <c r="B54" s="2" t="n">
        <v>53.84525</v>
      </c>
      <c r="C54" s="2" t="n">
        <v>54.3753</v>
      </c>
      <c r="D54" s="1" t="n">
        <v>54.679075</v>
      </c>
      <c r="E54" s="1" t="n">
        <v>55.0488</v>
      </c>
      <c r="F54" s="1" t="n">
        <v>55.4253</v>
      </c>
      <c r="G54" s="1" t="n">
        <v>55.5635</v>
      </c>
      <c r="H54" s="1" t="n">
        <v>55.5635</v>
      </c>
      <c r="I54" s="1" t="n">
        <v>55.5635</v>
      </c>
      <c r="J54" s="1" t="n">
        <v>55.5635</v>
      </c>
      <c r="K54" s="113" t="n">
        <v>55.5635</v>
      </c>
      <c r="L54" s="113" t="n">
        <v>55.5635</v>
      </c>
      <c r="M54" s="113" t="n">
        <v>55.5635</v>
      </c>
      <c r="N54" s="0"/>
      <c r="O54" s="0"/>
      <c r="P54" s="0"/>
      <c r="Q54" s="0"/>
      <c r="R54" s="0"/>
      <c r="S54" s="0"/>
      <c r="T54" s="0"/>
    </row>
    <row r="55" customFormat="false" ht="15.8" hidden="false" customHeight="true" outlineLevel="0" collapsed="false">
      <c r="A55" s="2" t="s">
        <v>62</v>
      </c>
      <c r="B55" s="2" t="n">
        <v>0.502</v>
      </c>
      <c r="C55" s="2" t="n">
        <v>0.5135</v>
      </c>
      <c r="D55" s="1" t="n">
        <v>0.5602</v>
      </c>
      <c r="E55" s="1" t="n">
        <v>0.6046</v>
      </c>
      <c r="F55" s="1" t="n">
        <v>0.6246</v>
      </c>
      <c r="G55" s="1" t="n">
        <v>0.6572</v>
      </c>
      <c r="H55" s="1" t="n">
        <v>0.6892</v>
      </c>
      <c r="I55" s="1" t="n">
        <v>0.6892</v>
      </c>
      <c r="J55" s="1" t="n">
        <v>0.746</v>
      </c>
      <c r="K55" s="114" t="n">
        <v>0.746</v>
      </c>
      <c r="L55" s="114" t="n">
        <v>0.746</v>
      </c>
      <c r="M55" s="114" t="n">
        <v>0.746</v>
      </c>
      <c r="N55" s="0"/>
      <c r="O55" s="0"/>
      <c r="P55" s="0"/>
      <c r="Q55" s="0"/>
      <c r="R55" s="0"/>
      <c r="S55" s="0"/>
      <c r="T55" s="0"/>
    </row>
    <row r="56" customFormat="false" ht="15.75" hidden="false" customHeight="true" outlineLevel="0" collapsed="false">
      <c r="A56" s="2"/>
      <c r="B56" s="2"/>
      <c r="C56" s="2"/>
      <c r="D56" s="0"/>
      <c r="E56" s="0"/>
      <c r="F56" s="0"/>
      <c r="G56" s="0"/>
      <c r="H56" s="0"/>
      <c r="I56" s="0"/>
      <c r="J56" s="0"/>
      <c r="K56" s="114"/>
      <c r="L56" s="114"/>
      <c r="M56" s="114"/>
      <c r="N56" s="0"/>
      <c r="O56" s="0"/>
      <c r="P56" s="0"/>
      <c r="Q56" s="0"/>
      <c r="R56" s="0"/>
      <c r="S56" s="0"/>
      <c r="T56" s="0"/>
    </row>
    <row r="57" customFormat="false" ht="15.8" hidden="false" customHeight="true" outlineLevel="0" collapsed="false">
      <c r="A57" s="2" t="s">
        <v>63</v>
      </c>
      <c r="B57" s="56" t="n">
        <v>2006</v>
      </c>
      <c r="C57" s="56" t="n">
        <v>2007</v>
      </c>
      <c r="D57" s="56" t="n">
        <v>2008</v>
      </c>
      <c r="E57" s="56" t="n">
        <v>2009</v>
      </c>
      <c r="F57" s="56" t="n">
        <v>2010</v>
      </c>
      <c r="G57" s="56" t="n">
        <v>2011</v>
      </c>
      <c r="H57" s="56" t="s">
        <v>64</v>
      </c>
      <c r="I57" s="56" t="n">
        <v>2012</v>
      </c>
      <c r="J57" s="56" t="n">
        <v>2013</v>
      </c>
      <c r="K57" s="56" t="n">
        <v>2014</v>
      </c>
      <c r="L57" s="57" t="n">
        <v>2015</v>
      </c>
      <c r="M57" s="0"/>
      <c r="N57" s="0"/>
      <c r="O57" s="0"/>
      <c r="P57" s="0"/>
      <c r="Q57" s="0"/>
      <c r="R57" s="0"/>
      <c r="S57" s="0"/>
      <c r="T57" s="0"/>
    </row>
    <row r="58" customFormat="false" ht="15" hidden="false" customHeight="true" outlineLevel="0" collapsed="false">
      <c r="A58" s="115" t="s">
        <v>38</v>
      </c>
      <c r="B58" s="116" t="n">
        <f aca="false">B41/B3</f>
        <v>56272.0527522936</v>
      </c>
      <c r="C58" s="116" t="n">
        <f aca="false">C41/C3</f>
        <v>54340.9179954442</v>
      </c>
      <c r="D58" s="116" t="n">
        <f aca="false">D41/D3</f>
        <v>57320.804494382</v>
      </c>
      <c r="E58" s="116" t="n">
        <f aca="false">E41/E3</f>
        <v>61676.6445086705</v>
      </c>
      <c r="F58" s="116" t="n">
        <f aca="false">F41/F3</f>
        <v>65145.72</v>
      </c>
      <c r="G58" s="116" t="n">
        <f aca="false">G41/G3</f>
        <v>70520.8095238095</v>
      </c>
      <c r="H58" s="116" t="n">
        <f aca="false">H41/H3</f>
        <v>84090.025</v>
      </c>
      <c r="I58" s="116" t="n">
        <f aca="false">I41/I3</f>
        <v>74086.6666666667</v>
      </c>
      <c r="J58" s="116" t="n">
        <f aca="false">J41/J3</f>
        <v>75358.15</v>
      </c>
      <c r="K58" s="116" t="n">
        <f aca="false">K41/K3</f>
        <v>74288.3888888889</v>
      </c>
      <c r="L58" s="117" t="n">
        <f aca="false">L41/L3</f>
        <v>67633.3103448276</v>
      </c>
      <c r="M58" s="117" t="n">
        <f aca="false">M41/M3</f>
        <v>77922.6470588235</v>
      </c>
      <c r="N58" s="1" t="n">
        <f aca="false">N41/N3</f>
        <v>42097.3636363636</v>
      </c>
      <c r="O58" s="1" t="n">
        <f aca="false">O41/O3</f>
        <v>56924.4863013699</v>
      </c>
      <c r="P58" s="1" t="n">
        <f aca="false">P41/P3</f>
        <v>63716.8987341772</v>
      </c>
      <c r="Q58" s="1" t="n">
        <f aca="false">Q41/Q3</f>
        <v>49125.6666666667</v>
      </c>
      <c r="R58" s="1" t="n">
        <f aca="false">R41/R3</f>
        <v>72497.3125</v>
      </c>
      <c r="S58" s="1" t="n">
        <f aca="false">S41/S3</f>
        <v>84986</v>
      </c>
      <c r="T58" s="1" t="n">
        <f aca="false">T41/T3</f>
        <v>56743.1818181818</v>
      </c>
    </row>
    <row r="59" customFormat="false" ht="15.8" hidden="false" customHeight="true" outlineLevel="0" collapsed="false">
      <c r="A59" s="96" t="s">
        <v>39</v>
      </c>
      <c r="B59" s="97" t="n">
        <f aca="false">B42/B4</f>
        <v>66080.7068231842</v>
      </c>
      <c r="C59" s="97" t="n">
        <f aca="false">C42/C4</f>
        <v>64042.4612426036</v>
      </c>
      <c r="D59" s="97" t="n">
        <f aca="false">D42/D4</f>
        <v>65858.5307295945</v>
      </c>
      <c r="E59" s="97" t="n">
        <f aca="false">E42/E4</f>
        <v>70301.5543298401</v>
      </c>
      <c r="F59" s="97" t="n">
        <f aca="false">F42/F4</f>
        <v>73981.7197729423</v>
      </c>
      <c r="G59" s="97" t="n">
        <f aca="false">G42/G4</f>
        <v>79548.8074398249</v>
      </c>
      <c r="H59" s="97" t="n">
        <f aca="false">H42/H4</f>
        <v>89024.8758002561</v>
      </c>
      <c r="I59" s="97" t="n">
        <f aca="false">I42/I4</f>
        <v>83307.6676245211</v>
      </c>
      <c r="J59" s="97" t="n">
        <f aca="false">J42/J4</f>
        <v>85199.7757404796</v>
      </c>
      <c r="K59" s="97" t="n">
        <f aca="false">K42/K4</f>
        <v>79347.981981982</v>
      </c>
      <c r="L59" s="118" t="n">
        <f aca="false">L42/L4</f>
        <v>76704.5411203814</v>
      </c>
      <c r="M59" s="118" t="n">
        <f aca="false">M42/M4</f>
        <v>80129.3883299799</v>
      </c>
      <c r="N59" s="1" t="n">
        <f aca="false">N42/N4</f>
        <v>46626.0553123757</v>
      </c>
      <c r="O59" s="1" t="n">
        <f aca="false">O42/O4</f>
        <v>66824.0513141427</v>
      </c>
      <c r="P59" s="1" t="n">
        <f aca="false">P42/P4</f>
        <v>71037.9430141741</v>
      </c>
      <c r="Q59" s="1" t="n">
        <f aca="false">Q42/Q4</f>
        <v>74543.3864795918</v>
      </c>
      <c r="R59" s="1" t="n">
        <f aca="false">R42/R4</f>
        <v>79303.176119403</v>
      </c>
      <c r="S59" s="1" t="n">
        <f aca="false">S42/S4</f>
        <v>175834.534883721</v>
      </c>
      <c r="T59" s="1" t="n">
        <f aca="false">T42/T4</f>
        <v>66528.0578034682</v>
      </c>
    </row>
    <row r="60" customFormat="false" ht="16.25" hidden="false" customHeight="true" outlineLevel="0" collapsed="false">
      <c r="A60" s="100" t="s">
        <v>40</v>
      </c>
      <c r="B60" s="97" t="n">
        <f aca="false">B43/B5</f>
        <v>41339.0216465578</v>
      </c>
      <c r="C60" s="97" t="n">
        <f aca="false">C43/C5</f>
        <v>27867.0330960854</v>
      </c>
      <c r="D60" s="97" t="n">
        <f aca="false">D43/D5</f>
        <v>27636.4601358598</v>
      </c>
      <c r="E60" s="97" t="n">
        <f aca="false">E43/E5</f>
        <v>33244.202070689</v>
      </c>
      <c r="F60" s="97" t="n">
        <f aca="false">F43/F5</f>
        <v>28787.7208121827</v>
      </c>
      <c r="G60" s="97"/>
      <c r="H60" s="97"/>
      <c r="I60" s="97"/>
      <c r="J60" s="97"/>
      <c r="K60" s="97"/>
      <c r="L60" s="118"/>
      <c r="M60" s="118"/>
      <c r="N60" s="1" t="n">
        <f aca="false">N43/N5</f>
        <v>3954457.75</v>
      </c>
      <c r="O60" s="1" t="n">
        <f aca="false">O43/O5</f>
        <v>36497.7912291538</v>
      </c>
      <c r="P60" s="1" t="n">
        <f aca="false">P43/P5</f>
        <v>28787.7208121827</v>
      </c>
      <c r="Q60" s="1" t="e">
        <f aca="false">Q43/Q5</f>
        <v>#DIV/0!</v>
      </c>
      <c r="R60" s="0"/>
      <c r="S60" s="1" t="e">
        <f aca="false">S43/S5</f>
        <v>#DIV/0!</v>
      </c>
      <c r="T60" s="1" t="e">
        <f aca="false">T43/T5</f>
        <v>#DIV/0!</v>
      </c>
    </row>
    <row r="61" customFormat="false" ht="15" hidden="false" customHeight="true" outlineLevel="0" collapsed="false">
      <c r="A61" s="103" t="s">
        <v>41</v>
      </c>
      <c r="B61" s="97" t="n">
        <f aca="false">B44/B6</f>
        <v>72346.8939322404</v>
      </c>
      <c r="C61" s="97" t="n">
        <f aca="false">C44/C6</f>
        <v>68361.4487387303</v>
      </c>
      <c r="D61" s="97" t="n">
        <f aca="false">D44/D6</f>
        <v>71448.8189699879</v>
      </c>
      <c r="E61" s="97" t="n">
        <f aca="false">E44/E6</f>
        <v>70995.5429121781</v>
      </c>
      <c r="F61" s="97" t="n">
        <f aca="false">F44/F6</f>
        <v>79171.7211703959</v>
      </c>
      <c r="G61" s="97" t="n">
        <f aca="false">G44/G6</f>
        <v>84607.8076760414</v>
      </c>
      <c r="H61" s="97" t="n">
        <f aca="false">H44/H6</f>
        <v>85381.3978075869</v>
      </c>
      <c r="I61" s="97" t="n">
        <f aca="false">I44/I6</f>
        <v>88666.6671312427</v>
      </c>
      <c r="J61" s="97" t="n">
        <f aca="false">J44/J6</f>
        <v>90748.8223172628</v>
      </c>
      <c r="K61" s="97" t="n">
        <f aca="false">K44/K6</f>
        <v>93883.7606531262</v>
      </c>
      <c r="L61" s="118" t="n">
        <f aca="false">L44/L6</f>
        <v>82928.4767363452</v>
      </c>
      <c r="M61" s="118" t="n">
        <f aca="false">M44/M6</f>
        <v>95351.1931763575</v>
      </c>
      <c r="N61" s="1" t="n">
        <f aca="false">N44/N6</f>
        <v>72776.9758557617</v>
      </c>
      <c r="O61" s="1" t="n">
        <f aca="false">O44/O6</f>
        <v>64694.9333670183</v>
      </c>
      <c r="P61" s="1" t="n">
        <f aca="false">P44/P6</f>
        <v>75731.2429737687</v>
      </c>
      <c r="Q61" s="1" t="n">
        <f aca="false">Q44/Q6</f>
        <v>81216.8917135649</v>
      </c>
      <c r="R61" s="1" t="n">
        <f aca="false">R44/R6</f>
        <v>85576.4748990191</v>
      </c>
      <c r="S61" s="1" t="n">
        <f aca="false">S44/S6</f>
        <v>-38297.5737704918</v>
      </c>
      <c r="T61" s="1" t="n">
        <f aca="false">T44/T6</f>
        <v>22469.756043956</v>
      </c>
    </row>
    <row r="62" customFormat="false" ht="15.8" hidden="false" customHeight="true" outlineLevel="0" collapsed="false">
      <c r="A62" s="96" t="s">
        <v>42</v>
      </c>
      <c r="B62" s="97" t="n">
        <f aca="false">B45/B7</f>
        <v>42913.8728813559</v>
      </c>
      <c r="C62" s="97" t="n">
        <f aca="false">C45/C7</f>
        <v>41849.1195652174</v>
      </c>
      <c r="D62" s="97" t="n">
        <f aca="false">D45/D7</f>
        <v>45295.869047619</v>
      </c>
      <c r="E62" s="97" t="n">
        <f aca="false">E45/E7</f>
        <v>49224.9850746269</v>
      </c>
      <c r="F62" s="97" t="n">
        <f aca="false">F45/F7</f>
        <v>52323.723880597</v>
      </c>
      <c r="G62" s="97" t="n">
        <f aca="false">G45/G7</f>
        <v>56211.8039215686</v>
      </c>
      <c r="H62" s="97" t="n">
        <f aca="false">H45/H7</f>
        <v>75706.4202898551</v>
      </c>
      <c r="I62" s="97" t="n">
        <f aca="false">I45/I7</f>
        <v>60799.6785714286</v>
      </c>
      <c r="J62" s="97" t="n">
        <f aca="false">J45/J7</f>
        <v>74698</v>
      </c>
      <c r="K62" s="97" t="n">
        <f aca="false">K45/K7</f>
        <v>60289.1666666667</v>
      </c>
      <c r="L62" s="118" t="n">
        <f aca="false">L45/L7</f>
        <v>53315.15</v>
      </c>
      <c r="M62" s="118" t="n">
        <f aca="false">M45/M7</f>
        <v>57882.3333333333</v>
      </c>
      <c r="N62" s="1" t="n">
        <f aca="false">N45/N7</f>
        <v>29810.5294117647</v>
      </c>
      <c r="O62" s="1" t="n">
        <f aca="false">O45/O7</f>
        <v>55422.4626865672</v>
      </c>
      <c r="P62" s="1" t="n">
        <f aca="false">P45/P7</f>
        <v>49934.6626506024</v>
      </c>
      <c r="Q62" s="1" t="n">
        <f aca="false">Q45/Q7</f>
        <v>50626.5652173913</v>
      </c>
      <c r="R62" s="1" t="n">
        <f aca="false">R45/R7</f>
        <v>58483.2916666667</v>
      </c>
      <c r="S62" s="1" t="n">
        <f aca="false">S45/S7</f>
        <v>31471.5</v>
      </c>
      <c r="T62" s="1" t="n">
        <f aca="false">T45/T7</f>
        <v>50326.2857142857</v>
      </c>
    </row>
    <row r="63" customFormat="false" ht="15.8" hidden="false" customHeight="true" outlineLevel="0" collapsed="false">
      <c r="A63" s="96" t="s">
        <v>43</v>
      </c>
      <c r="B63" s="97" t="n">
        <f aca="false">B46/B8</f>
        <v>71714.2112960161</v>
      </c>
      <c r="C63" s="97" t="n">
        <f aca="false">C46/C8</f>
        <v>68212.5363505055</v>
      </c>
      <c r="D63" s="97" t="n">
        <f aca="false">D46/D8</f>
        <v>70277.8593103448</v>
      </c>
      <c r="E63" s="97" t="n">
        <f aca="false">E46/E8</f>
        <v>76764.5716675962</v>
      </c>
      <c r="F63" s="97" t="n">
        <f aca="false">F46/F8</f>
        <v>41162.0949367089</v>
      </c>
      <c r="G63" s="97" t="n">
        <f aca="false">G46/G8</f>
        <v>83585.8070175439</v>
      </c>
      <c r="H63" s="97" t="n">
        <f aca="false">H46/H8</f>
        <v>128334.043103448</v>
      </c>
      <c r="I63" s="97" t="n">
        <f aca="false">I46/I8</f>
        <v>87034.6666666667</v>
      </c>
      <c r="J63" s="97" t="n">
        <f aca="false">J46/J8</f>
        <v>89595.5503355705</v>
      </c>
      <c r="K63" s="97" t="n">
        <f aca="false">K46/K8</f>
        <v>97560.6632653061</v>
      </c>
      <c r="L63" s="118" t="n">
        <f aca="false">L46/L8</f>
        <v>81507.8065693431</v>
      </c>
      <c r="M63" s="118" t="n">
        <f aca="false">M46/M8</f>
        <v>101248.333333333</v>
      </c>
      <c r="N63" s="1" t="n">
        <f aca="false">N46/N8</f>
        <v>39831.0654450262</v>
      </c>
      <c r="O63" s="1" t="n">
        <f aca="false">O46/O8</f>
        <v>116706.758579882</v>
      </c>
      <c r="P63" s="1" t="n">
        <f aca="false">P46/P8</f>
        <v>-22810.1693121693</v>
      </c>
      <c r="Q63" s="1" t="n">
        <f aca="false">Q46/Q8</f>
        <v>74433.0641025641</v>
      </c>
      <c r="R63" s="1" t="n">
        <f aca="false">R46/R8</f>
        <v>80455.8448275862</v>
      </c>
      <c r="S63" s="1" t="n">
        <f aca="false">S46/S8</f>
        <v>-495840.25</v>
      </c>
      <c r="T63" s="1" t="n">
        <f aca="false">T46/T8</f>
        <v>317484.8</v>
      </c>
    </row>
    <row r="64" customFormat="false" ht="15" hidden="false" customHeight="true" outlineLevel="0" collapsed="false">
      <c r="A64" s="96" t="s">
        <v>44</v>
      </c>
      <c r="B64" s="97" t="n">
        <f aca="false">B47/B9</f>
        <v>37907.430609106</v>
      </c>
      <c r="C64" s="97" t="n">
        <f aca="false">C47/C9</f>
        <v>35918.7016331134</v>
      </c>
      <c r="D64" s="97" t="n">
        <f aca="false">D47/D9</f>
        <v>37025.8349156008</v>
      </c>
      <c r="E64" s="97" t="n">
        <f aca="false">E47/E9</f>
        <v>39970.0911669368</v>
      </c>
      <c r="F64" s="97" t="n">
        <f aca="false">F47/F9</f>
        <v>42529.7207587497</v>
      </c>
      <c r="G64" s="97" t="n">
        <f aca="false">G47/G9</f>
        <v>46782.8076547761</v>
      </c>
      <c r="H64" s="97" t="n">
        <f aca="false">H47/H9</f>
        <v>40898.9919519847</v>
      </c>
      <c r="I64" s="97" t="n">
        <f aca="false">I47/I9</f>
        <v>50492.6673363469</v>
      </c>
      <c r="J64" s="97" t="n">
        <f aca="false">J47/J9</f>
        <v>49474.854561879</v>
      </c>
      <c r="K64" s="97" t="n">
        <f aca="false">K47/K9</f>
        <v>50232.9598918432</v>
      </c>
      <c r="L64" s="118" t="n">
        <f aca="false">L47/L9</f>
        <v>45518.9235599827</v>
      </c>
      <c r="M64" s="118" t="n">
        <f aca="false">M47/M9</f>
        <v>51938.0141070003</v>
      </c>
      <c r="N64" s="1" t="n">
        <f aca="false">N47/N9</f>
        <v>27032.5859539745</v>
      </c>
      <c r="O64" s="1" t="n">
        <f aca="false">O47/O9</f>
        <v>37353.1303468998</v>
      </c>
      <c r="P64" s="1" t="n">
        <f aca="false">P47/P9</f>
        <v>38397.1648756848</v>
      </c>
      <c r="Q64" s="1" t="n">
        <f aca="false">Q47/Q9</f>
        <v>39964.6563076923</v>
      </c>
      <c r="R64" s="1" t="n">
        <f aca="false">R47/R9</f>
        <v>53409.7385113269</v>
      </c>
      <c r="S64" s="1" t="n">
        <f aca="false">S47/S9</f>
        <v>385922</v>
      </c>
      <c r="T64" s="1" t="n">
        <f aca="false">T47/T9</f>
        <v>-70708.2611111111</v>
      </c>
    </row>
    <row r="65" customFormat="false" ht="15.8" hidden="false" customHeight="true" outlineLevel="0" collapsed="false">
      <c r="A65" s="103" t="s">
        <v>45</v>
      </c>
      <c r="B65" s="97" t="n">
        <f aca="false">B48/B10</f>
        <v>44828.1415545931</v>
      </c>
      <c r="C65" s="97" t="n">
        <f aca="false">C48/C10</f>
        <v>42297.8937342208</v>
      </c>
      <c r="D65" s="97" t="n">
        <f aca="false">D48/D10</f>
        <v>43265.280110117</v>
      </c>
      <c r="E65" s="97" t="n">
        <f aca="false">E48/E10</f>
        <v>47109.9275720165</v>
      </c>
      <c r="F65" s="97" t="n">
        <f aca="false">F48/F10</f>
        <v>49264.7207289294</v>
      </c>
      <c r="G65" s="97" t="n">
        <f aca="false">G48/G10</f>
        <v>53657.8079096045</v>
      </c>
      <c r="H65" s="97" t="n">
        <f aca="false">H48/H10</f>
        <v>32855.3692992214</v>
      </c>
      <c r="I65" s="97" t="n">
        <f aca="false">I48/I10</f>
        <v>57464.667752443</v>
      </c>
      <c r="J65" s="97" t="n">
        <f aca="false">J48/J10</f>
        <v>56856.9090909091</v>
      </c>
      <c r="K65" s="97" t="n">
        <f aca="false">K48/K10</f>
        <v>58374.2408163265</v>
      </c>
      <c r="L65" s="118" t="n">
        <f aca="false">L48/L10</f>
        <v>51675.3136882129</v>
      </c>
      <c r="M65" s="118" t="n">
        <f aca="false">M48/M10</f>
        <v>59183.9431578947</v>
      </c>
      <c r="N65" s="1" t="n">
        <f aca="false">N48/N10</f>
        <v>23638.1932773109</v>
      </c>
      <c r="O65" s="1" t="n">
        <f aca="false">O48/O10</f>
        <v>43848.0165517241</v>
      </c>
      <c r="P65" s="1" t="n">
        <f aca="false">P48/P10</f>
        <v>45146.9285083848</v>
      </c>
      <c r="Q65" s="1" t="n">
        <f aca="false">Q48/Q10</f>
        <v>48440.3705357143</v>
      </c>
      <c r="R65" s="1" t="n">
        <f aca="false">R48/R10</f>
        <v>59992.7394957983</v>
      </c>
      <c r="S65" s="1" t="n">
        <f aca="false">S48/S10</f>
        <v>-91841.6</v>
      </c>
      <c r="T65" s="1" t="n">
        <f aca="false">T48/T10</f>
        <v>-39504.5277777778</v>
      </c>
    </row>
    <row r="66" customFormat="false" ht="15.8" hidden="false" customHeight="true" outlineLevel="0" collapsed="false">
      <c r="A66" s="96" t="s">
        <v>65</v>
      </c>
      <c r="B66" s="97" t="n">
        <f aca="false">B49/B11</f>
        <v>57679.7307686492</v>
      </c>
      <c r="C66" s="119" t="n">
        <f aca="false">C49/C11</f>
        <v>55687.9003401314</v>
      </c>
      <c r="D66" s="119" t="n">
        <f aca="false">D49/D11</f>
        <v>57915.1242169407</v>
      </c>
      <c r="E66" s="119" t="n">
        <f aca="false">E49/E11</f>
        <v>59068.0082136071</v>
      </c>
      <c r="F66" s="119" t="n">
        <f aca="false">F49/F11</f>
        <v>62571.5834605454</v>
      </c>
      <c r="G66" s="119" t="n">
        <f aca="false">G49/G11</f>
        <v>66905.2297382387</v>
      </c>
      <c r="H66" s="119" t="n">
        <f aca="false">H49/H11</f>
        <v>65239.2134350792</v>
      </c>
      <c r="I66" s="119" t="n">
        <f aca="false">I49/I11</f>
        <v>68145.7288545191</v>
      </c>
      <c r="J66" s="119" t="n">
        <f aca="false">J49/J11</f>
        <v>66800.0078583157</v>
      </c>
      <c r="K66" s="119" t="n">
        <f aca="false">K49/K11</f>
        <v>67732.0306304167</v>
      </c>
      <c r="L66" s="120" t="n">
        <f aca="false">L49/L11</f>
        <v>61806.4477998274</v>
      </c>
      <c r="M66" s="120" t="n">
        <f aca="false">M49/M11</f>
        <v>69096.4419291339</v>
      </c>
      <c r="N66" s="1" t="n">
        <f aca="false">N49/N11</f>
        <v>54069.6279655244</v>
      </c>
      <c r="O66" s="1" t="n">
        <f aca="false">O49/O11</f>
        <v>55946.5748610575</v>
      </c>
      <c r="P66" s="1" t="n">
        <f aca="false">P49/P11</f>
        <v>59445.9373925455</v>
      </c>
      <c r="Q66" s="1" t="n">
        <f aca="false">Q49/Q11</f>
        <v>65337.0468431772</v>
      </c>
      <c r="R66" s="1" t="n">
        <f aca="false">R49/R11</f>
        <v>71096.7620884774</v>
      </c>
      <c r="S66" s="1" t="n">
        <f aca="false">S49/S11</f>
        <v>-9417.73786407767</v>
      </c>
      <c r="T66" s="1" t="n">
        <f aca="false">T49/T11</f>
        <v>3018.24499411072</v>
      </c>
    </row>
    <row r="67" customFormat="false" ht="15.8" hidden="false" customHeight="true" outlineLevel="0" collapsed="false">
      <c r="A67" s="96"/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3"/>
      <c r="M67" s="123"/>
      <c r="N67" s="0"/>
    </row>
    <row r="68" customFormat="false" ht="15.8" hidden="false" customHeight="true" outlineLevel="0" collapsed="false">
      <c r="A68" s="58" t="s">
        <v>66</v>
      </c>
      <c r="B68" s="59" t="n">
        <v>4449.72</v>
      </c>
      <c r="C68" s="59" t="n">
        <v>4636.86</v>
      </c>
      <c r="D68" s="60" t="n">
        <v>4726.43</v>
      </c>
      <c r="E68" s="60" t="n">
        <v>3649.24</v>
      </c>
      <c r="F68" s="60" t="n">
        <v>1764.73</v>
      </c>
      <c r="G68" s="60" t="n">
        <v>767.98</v>
      </c>
      <c r="H68" s="60" t="n">
        <v>665.61</v>
      </c>
      <c r="I68" s="60" t="n">
        <v>433.17</v>
      </c>
      <c r="J68" s="60" t="n">
        <v>324.05</v>
      </c>
      <c r="K68" s="60" t="n">
        <v>324.051</v>
      </c>
      <c r="L68" s="61" t="n">
        <v>322.802</v>
      </c>
      <c r="M68" s="0" t="n">
        <v>281.117</v>
      </c>
      <c r="N68" s="0"/>
    </row>
    <row r="69" customFormat="false" ht="15" hidden="false" customHeight="true" outlineLevel="0" collapsed="false">
      <c r="A69" s="58" t="s">
        <v>67</v>
      </c>
      <c r="B69" s="59" t="n">
        <v>277.88</v>
      </c>
      <c r="C69" s="59" t="n">
        <v>419.74</v>
      </c>
      <c r="D69" s="60" t="n">
        <v>437.38</v>
      </c>
      <c r="E69" s="60" t="n">
        <v>328.86</v>
      </c>
      <c r="F69" s="60" t="n">
        <v>181.72</v>
      </c>
      <c r="G69" s="60" t="n">
        <v>98.13</v>
      </c>
      <c r="H69" s="60"/>
      <c r="I69" s="60" t="n">
        <v>63.36</v>
      </c>
      <c r="J69" s="60" t="n">
        <v>50.92</v>
      </c>
      <c r="K69" s="60"/>
      <c r="L69" s="61"/>
      <c r="M69" s="0"/>
      <c r="N69" s="0"/>
    </row>
    <row r="70" customFormat="false" ht="15" hidden="false" customHeight="true" outlineLevel="0" collapsed="false">
      <c r="A70" s="58" t="s">
        <v>68</v>
      </c>
      <c r="B70" s="59" t="n">
        <v>2007.84</v>
      </c>
      <c r="C70" s="59" t="n">
        <v>2080.3</v>
      </c>
      <c r="D70" s="60" t="n">
        <v>2307.41</v>
      </c>
      <c r="E70" s="60" t="n">
        <v>1898.36</v>
      </c>
      <c r="F70" s="60" t="n">
        <v>985.73</v>
      </c>
      <c r="G70" s="60" t="n">
        <v>441.553</v>
      </c>
      <c r="H70" s="60" t="n">
        <v>436.19</v>
      </c>
      <c r="I70" s="124" t="n">
        <v>250.374</v>
      </c>
      <c r="J70" s="125" t="n">
        <v>176.722</v>
      </c>
      <c r="K70" s="125" t="n">
        <v>181.707</v>
      </c>
      <c r="L70" s="126" t="n">
        <v>182.792</v>
      </c>
      <c r="M70" s="127" t="n">
        <v>154.755</v>
      </c>
      <c r="N70" s="0"/>
    </row>
    <row r="71" customFormat="false" ht="15" hidden="false" customHeight="true" outlineLevel="0" collapsed="false">
      <c r="A71" s="58" t="s">
        <v>69</v>
      </c>
      <c r="B71" s="59" t="n">
        <v>811.65</v>
      </c>
      <c r="C71" s="59" t="n">
        <v>914.8</v>
      </c>
      <c r="D71" s="60" t="n">
        <v>945.66</v>
      </c>
      <c r="E71" s="60" t="n">
        <v>722.58</v>
      </c>
      <c r="F71" s="60" t="n">
        <f aca="false">1328.12-F70</f>
        <v>342.39</v>
      </c>
      <c r="G71" s="60" t="n">
        <v>147.77</v>
      </c>
      <c r="H71" s="60" t="n">
        <f aca="false">436.19-359.05</f>
        <v>77.14</v>
      </c>
      <c r="I71" s="60" t="n">
        <v>79.89</v>
      </c>
      <c r="J71" s="125" t="n">
        <f aca="false">234.051-J70</f>
        <v>57.329</v>
      </c>
      <c r="K71" s="125" t="n">
        <f aca="false">238-K70</f>
        <v>56.293</v>
      </c>
      <c r="L71" s="61"/>
      <c r="M71" s="1" t="n">
        <v>50.151</v>
      </c>
      <c r="N71" s="0"/>
    </row>
    <row r="72" customFormat="false" ht="15.8" hidden="false" customHeight="true" outlineLevel="0" collapsed="false">
      <c r="A72" s="58" t="s">
        <v>70</v>
      </c>
      <c r="B72" s="59" t="n">
        <v>66.72</v>
      </c>
      <c r="C72" s="59" t="n">
        <v>69.03</v>
      </c>
      <c r="D72" s="60"/>
      <c r="E72" s="60" t="n">
        <v>125.05</v>
      </c>
      <c r="F72" s="60" t="n">
        <v>45.54</v>
      </c>
      <c r="G72" s="60" t="n">
        <v>32.14</v>
      </c>
      <c r="H72" s="60" t="n">
        <v>26.7</v>
      </c>
      <c r="I72" s="128" t="n">
        <v>19.169</v>
      </c>
      <c r="J72" s="60" t="n">
        <v>11.251</v>
      </c>
      <c r="K72" s="60" t="n">
        <v>7.682</v>
      </c>
      <c r="L72" s="61" t="n">
        <v>11.148</v>
      </c>
      <c r="M72" s="1" t="n">
        <v>5.379</v>
      </c>
      <c r="N72" s="0"/>
    </row>
    <row r="73" customFormat="false" ht="15.8" hidden="false" customHeight="true" outlineLevel="0" collapsed="false">
      <c r="A73" s="58" t="s">
        <v>71</v>
      </c>
      <c r="B73" s="129" t="n">
        <f aca="false">B68*1000000/B54</f>
        <v>82639044.2982436</v>
      </c>
      <c r="C73" s="129" t="n">
        <f aca="false">C68*1000000/C54</f>
        <v>85275115.7234994</v>
      </c>
      <c r="D73" s="129" t="n">
        <f aca="false">D68*1000000/D54</f>
        <v>86439465.1884656</v>
      </c>
      <c r="E73" s="129" t="n">
        <f aca="false">E68*1000000/E54</f>
        <v>66290999.9854674</v>
      </c>
      <c r="F73" s="129" t="n">
        <f aca="false">F68*1000000/F54</f>
        <v>31839791.5753275</v>
      </c>
      <c r="G73" s="129" t="n">
        <f aca="false">G68*1000000/G54</f>
        <v>13821663.5021192</v>
      </c>
      <c r="H73" s="129" t="n">
        <f aca="false">H68*1000000/H54</f>
        <v>11979266.964824</v>
      </c>
      <c r="I73" s="129" t="n">
        <f aca="false">I68*1000000/I54</f>
        <v>7795945.17983928</v>
      </c>
      <c r="J73" s="129" t="n">
        <f aca="false">J68*1000000/J54</f>
        <v>5832066.01455992</v>
      </c>
      <c r="K73" s="129" t="n">
        <f aca="false">K68*1000000/K54</f>
        <v>5832084.01198629</v>
      </c>
      <c r="L73" s="130" t="n">
        <f aca="false">L68*1000000/L54</f>
        <v>5809605.22645262</v>
      </c>
      <c r="M73" s="130" t="n">
        <f aca="false">M68*1000000/M54</f>
        <v>5059382.50830131</v>
      </c>
      <c r="N73" s="0"/>
    </row>
    <row r="74" customFormat="false" ht="15.8" hidden="false" customHeight="true" outlineLevel="0" collapsed="false">
      <c r="A74" s="58" t="s">
        <v>72</v>
      </c>
      <c r="B74" s="131" t="n">
        <f aca="false">B70/B55</f>
        <v>3999.6812749004</v>
      </c>
      <c r="C74" s="124" t="n">
        <f aca="false">C70/C55</f>
        <v>4051.21713729309</v>
      </c>
      <c r="D74" s="124" t="n">
        <f aca="false">D70/D55</f>
        <v>4118.9039628704</v>
      </c>
      <c r="E74" s="124" t="n">
        <f aca="false">E70/E55</f>
        <v>3139.86106516705</v>
      </c>
      <c r="F74" s="124" t="n">
        <f aca="false">F70/F55</f>
        <v>1578.17803394172</v>
      </c>
      <c r="G74" s="124" t="n">
        <f aca="false">G70/G55</f>
        <v>671.870054777846</v>
      </c>
      <c r="H74" s="124" t="n">
        <f aca="false">H70/H55</f>
        <v>632.893209518282</v>
      </c>
      <c r="I74" s="124" t="n">
        <f aca="false">I70/I55</f>
        <v>363.282066163668</v>
      </c>
      <c r="J74" s="124" t="n">
        <f aca="false">J70/J55</f>
        <v>236.892761394102</v>
      </c>
      <c r="K74" s="124" t="n">
        <f aca="false">K70/K55</f>
        <v>243.575067024129</v>
      </c>
      <c r="L74" s="132" t="n">
        <f aca="false">L70/L55</f>
        <v>245.029490616622</v>
      </c>
      <c r="M74" s="132" t="n">
        <f aca="false">M70/M55</f>
        <v>207.446380697051</v>
      </c>
      <c r="N74" s="0"/>
    </row>
    <row r="75" customFormat="false" ht="15.8" hidden="false" customHeight="true" outlineLevel="0" collapsed="false">
      <c r="A75" s="71" t="s">
        <v>73</v>
      </c>
      <c r="B75" s="133" t="n">
        <f aca="false">B74*1000000/B54</f>
        <v>74281041.9656404</v>
      </c>
      <c r="C75" s="133" t="n">
        <f aca="false">C74*1000000/C54</f>
        <v>74504731.6942267</v>
      </c>
      <c r="D75" s="133" t="n">
        <f aca="false">D74*1000000/D54</f>
        <v>75328705.9605599</v>
      </c>
      <c r="E75" s="133" t="n">
        <f aca="false">E74*1000000/E54</f>
        <v>57037774.9409079</v>
      </c>
      <c r="F75" s="133" t="n">
        <f aca="false">F74*1000000/F54</f>
        <v>28473964.6685128</v>
      </c>
      <c r="G75" s="133" t="n">
        <f aca="false">G74*1000000/G54</f>
        <v>12091931.8397481</v>
      </c>
      <c r="H75" s="133" t="n">
        <f aca="false">H74*1000000/H54</f>
        <v>11390448.9371311</v>
      </c>
      <c r="I75" s="133" t="n">
        <f aca="false">I74*1000000/I54</f>
        <v>6538142.23660619</v>
      </c>
      <c r="J75" s="133" t="n">
        <f aca="false">J74*1000000/J54</f>
        <v>4263460.0303095</v>
      </c>
      <c r="K75" s="133" t="n">
        <f aca="false">K74*1000000/K54</f>
        <v>4383724.33385458</v>
      </c>
      <c r="L75" s="134" t="n">
        <f aca="false">L74*1000000/L54</f>
        <v>4409900.2153684</v>
      </c>
      <c r="M75" s="134" t="n">
        <f aca="false">M74*1000000/M54</f>
        <v>3733500.96190936</v>
      </c>
      <c r="N75" s="0"/>
    </row>
    <row r="76" customFormat="false" ht="15.8" hidden="false" customHeight="true" outlineLevel="0" collapsed="false">
      <c r="A76" s="2"/>
      <c r="B76" s="2"/>
      <c r="C76" s="34"/>
      <c r="D76" s="34"/>
      <c r="E76" s="34"/>
      <c r="F76" s="34"/>
      <c r="G76" s="34"/>
      <c r="H76" s="34"/>
      <c r="I76" s="34"/>
      <c r="J76" s="34"/>
      <c r="K76" s="34"/>
      <c r="L76" s="0"/>
      <c r="M76" s="0"/>
      <c r="N76" s="0"/>
    </row>
    <row r="77" customFormat="false" ht="15.8" hidden="false" customHeight="true" outlineLevel="0" collapsed="false">
      <c r="A77" s="2" t="s">
        <v>74</v>
      </c>
      <c r="B77" s="56" t="n">
        <v>2006</v>
      </c>
      <c r="C77" s="56" t="n">
        <v>2007</v>
      </c>
      <c r="D77" s="56" t="n">
        <v>2008</v>
      </c>
      <c r="E77" s="56" t="n">
        <v>2009</v>
      </c>
      <c r="F77" s="56" t="n">
        <v>2010</v>
      </c>
      <c r="G77" s="56" t="n">
        <v>2011</v>
      </c>
      <c r="H77" s="56" t="s">
        <v>55</v>
      </c>
      <c r="I77" s="56" t="n">
        <v>2012</v>
      </c>
      <c r="J77" s="56" t="n">
        <v>2013</v>
      </c>
      <c r="K77" s="56" t="n">
        <v>2014</v>
      </c>
      <c r="L77" s="57" t="n">
        <v>2015</v>
      </c>
      <c r="M77" s="1" t="n">
        <v>2015</v>
      </c>
      <c r="N77" s="0"/>
    </row>
    <row r="78" customFormat="false" ht="15.8" hidden="false" customHeight="true" outlineLevel="0" collapsed="false">
      <c r="A78" s="135" t="s">
        <v>75</v>
      </c>
      <c r="B78" s="136"/>
      <c r="C78" s="137"/>
      <c r="D78" s="138"/>
      <c r="E78" s="139" t="n">
        <f aca="false">1870.67+63+109.1</f>
        <v>2042.77</v>
      </c>
      <c r="F78" s="139" t="n">
        <v>5801.3</v>
      </c>
      <c r="G78" s="139" t="n">
        <v>7860.3</v>
      </c>
      <c r="H78" s="139" t="n">
        <v>8184.19</v>
      </c>
      <c r="I78" s="139" t="n">
        <v>8656.8</v>
      </c>
      <c r="J78" s="139" t="n">
        <v>9199.8</v>
      </c>
      <c r="K78" s="139" t="n">
        <v>9296.6</v>
      </c>
      <c r="L78" s="140" t="n">
        <v>9218.43</v>
      </c>
      <c r="M78" s="1" t="n">
        <v>9524</v>
      </c>
      <c r="N78" s="0"/>
    </row>
    <row r="79" customFormat="false" ht="15" hidden="false" customHeight="true" outlineLevel="0" collapsed="false">
      <c r="A79" s="141" t="s">
        <v>76</v>
      </c>
      <c r="B79" s="142"/>
      <c r="C79" s="143"/>
      <c r="D79" s="144"/>
      <c r="E79" s="144" t="n">
        <v>1911.4</v>
      </c>
      <c r="F79" s="144"/>
      <c r="G79" s="144" t="n">
        <v>7488.1</v>
      </c>
      <c r="H79" s="144"/>
      <c r="I79" s="144" t="n">
        <v>8279.9</v>
      </c>
      <c r="J79" s="144" t="n">
        <v>8798.3</v>
      </c>
      <c r="K79" s="144" t="n">
        <v>8922.6</v>
      </c>
      <c r="L79" s="145"/>
      <c r="M79" s="1" t="n">
        <v>9121</v>
      </c>
      <c r="N79" s="0"/>
    </row>
    <row r="80" customFormat="false" ht="15.8" hidden="false" customHeight="true" outlineLevel="0" collapsed="false">
      <c r="A80" s="141" t="s">
        <v>77</v>
      </c>
      <c r="B80" s="142"/>
      <c r="C80" s="143"/>
      <c r="D80" s="144"/>
      <c r="E80" s="144" t="n">
        <f aca="false">E81*E55</f>
        <v>673.102816192751</v>
      </c>
      <c r="F80" s="144" t="n">
        <v>1688.5</v>
      </c>
      <c r="G80" s="144" t="n">
        <v>2398.9</v>
      </c>
      <c r="H80" s="144" t="n">
        <f aca="false">G80+115.91+111.47</f>
        <v>2626.28</v>
      </c>
      <c r="I80" s="144" t="n">
        <v>2738.1</v>
      </c>
      <c r="J80" s="144" t="n">
        <v>3052.3</v>
      </c>
      <c r="K80" s="144" t="n">
        <v>3113.1</v>
      </c>
      <c r="L80" s="144" t="n">
        <f aca="false">L81*L55</f>
        <v>3479.75502044327</v>
      </c>
      <c r="M80" s="1" t="n">
        <v>3193</v>
      </c>
      <c r="N80" s="0"/>
    </row>
    <row r="81" customFormat="false" ht="15.8" hidden="false" customHeight="true" outlineLevel="0" collapsed="false">
      <c r="A81" s="141" t="s">
        <v>78</v>
      </c>
      <c r="B81" s="142"/>
      <c r="C81" s="143"/>
      <c r="D81" s="144"/>
      <c r="E81" s="144" t="n">
        <f aca="false">E78/E87</f>
        <v>1113.30270624008</v>
      </c>
      <c r="F81" s="144" t="n">
        <f aca="false">F80/0.6246</f>
        <v>2703.33013128402</v>
      </c>
      <c r="G81" s="144" t="n">
        <f aca="false">G80/0.6571</f>
        <v>3650.73809161467</v>
      </c>
      <c r="H81" s="144" t="n">
        <f aca="false">H80/0.6891</f>
        <v>3811.17399506603</v>
      </c>
      <c r="I81" s="144" t="n">
        <f aca="false">I80/0.6891</f>
        <v>3973.4436221158</v>
      </c>
      <c r="J81" s="144" t="n">
        <f aca="false">J80/0.746</f>
        <v>4091.55495978552</v>
      </c>
      <c r="K81" s="144" t="n">
        <f aca="false">K80/0.746</f>
        <v>4173.0563002681</v>
      </c>
      <c r="L81" s="146" t="n">
        <f aca="false">L78/L87</f>
        <v>4664.55096574165</v>
      </c>
      <c r="M81" s="144" t="n">
        <f aca="false">M80/0.746</f>
        <v>4280.16085790885</v>
      </c>
      <c r="N81" s="0"/>
    </row>
    <row r="82" customFormat="false" ht="15.8" hidden="false" customHeight="true" outlineLevel="0" collapsed="false">
      <c r="A82" s="147" t="s">
        <v>79</v>
      </c>
      <c r="B82" s="148"/>
      <c r="C82" s="149"/>
      <c r="D82" s="150"/>
      <c r="E82" s="151" t="n">
        <f aca="false">E81*1000000/E54</f>
        <v>20223923.2506445</v>
      </c>
      <c r="F82" s="151" t="n">
        <f aca="false">F81*1000000/F54</f>
        <v>48774298.5835714</v>
      </c>
      <c r="G82" s="151" t="n">
        <f aca="false">G81*1000000/G54</f>
        <v>65703889.9927951</v>
      </c>
      <c r="H82" s="151" t="n">
        <f aca="false">H81*1000000/H54</f>
        <v>68591323.3519492</v>
      </c>
      <c r="I82" s="151" t="n">
        <f aca="false">I81*1000000/I54</f>
        <v>71511759.0165451</v>
      </c>
      <c r="J82" s="151" t="n">
        <f aca="false">J81*1000000/J54</f>
        <v>73637459.1194853</v>
      </c>
      <c r="K82" s="151" t="n">
        <f aca="false">K81*1000000/K54</f>
        <v>75104273.4937161</v>
      </c>
      <c r="L82" s="151" t="n">
        <f aca="false">L81*1000000/L54</f>
        <v>83949912.5458557</v>
      </c>
      <c r="M82" s="151" t="n">
        <f aca="false">M81*1000000/M54</f>
        <v>77031879.8835359</v>
      </c>
      <c r="N82" s="0"/>
    </row>
    <row r="83" customFormat="false" ht="17" hidden="false" customHeight="true" outlineLevel="0" collapsed="false">
      <c r="A83" s="77" t="s">
        <v>80</v>
      </c>
      <c r="B83" s="152" t="n">
        <f aca="false">B82+B73</f>
        <v>82639044.2982436</v>
      </c>
      <c r="C83" s="152" t="n">
        <f aca="false">C82+C73</f>
        <v>85275115.7234994</v>
      </c>
      <c r="D83" s="152" t="n">
        <f aca="false">D82+D73</f>
        <v>86439465.1884656</v>
      </c>
      <c r="E83" s="152" t="n">
        <f aca="false">E82+E73</f>
        <v>86514923.2361119</v>
      </c>
      <c r="F83" s="152" t="n">
        <f aca="false">F82+F73</f>
        <v>80614090.158899</v>
      </c>
      <c r="G83" s="152" t="n">
        <f aca="false">G82+G73</f>
        <v>79525553.4949143</v>
      </c>
      <c r="H83" s="152" t="n">
        <f aca="false">H82+H73</f>
        <v>80570590.3167732</v>
      </c>
      <c r="I83" s="152" t="n">
        <f aca="false">I82+I73</f>
        <v>79307704.1963844</v>
      </c>
      <c r="J83" s="152" t="n">
        <f aca="false">J82+J73</f>
        <v>79469525.1340453</v>
      </c>
      <c r="K83" s="152" t="n">
        <f aca="false">K82+K73</f>
        <v>80936357.5057024</v>
      </c>
      <c r="L83" s="152" t="n">
        <f aca="false">L82+L73</f>
        <v>89759517.7723083</v>
      </c>
      <c r="M83" s="152" t="n">
        <f aca="false">M82+M73</f>
        <v>82091262.3918372</v>
      </c>
      <c r="N83" s="0" t="n">
        <f aca="false">M83/K83</f>
        <v>1.01426929654023</v>
      </c>
    </row>
    <row r="84" customFormat="false" ht="15.8" hidden="false" customHeight="true" outlineLevel="0" collapsed="false">
      <c r="A84" s="2"/>
      <c r="B84" s="2"/>
      <c r="C84" s="34"/>
      <c r="D84" s="34"/>
      <c r="E84" s="34" t="n">
        <f aca="false">E82/E13</f>
        <v>382.869320560458</v>
      </c>
      <c r="F84" s="34" t="n">
        <f aca="false">F82/F13</f>
        <v>433.010463277445</v>
      </c>
      <c r="G84" s="34" t="n">
        <f aca="false">G82/G13</f>
        <v>469.340319395359</v>
      </c>
      <c r="H84" s="34" t="n">
        <f aca="false">H82/H13</f>
        <v>466.59177138158</v>
      </c>
      <c r="I84" s="34" t="n">
        <f aca="false">I82/I13</f>
        <v>486.236394531557</v>
      </c>
      <c r="J84" s="34" t="n">
        <f aca="false">J82/J13</f>
        <v>490.720106087467</v>
      </c>
      <c r="K84" s="34" t="n">
        <f aca="false">K82/K13</f>
        <v>499.446540274089</v>
      </c>
      <c r="L84" s="34" t="n">
        <f aca="false">L82/L13</f>
        <v>520.69065265249</v>
      </c>
      <c r="M84" s="34" t="n">
        <f aca="false">M82/M13</f>
        <v>506.822026998723</v>
      </c>
      <c r="N84" s="0"/>
    </row>
    <row r="85" customFormat="false" ht="15.8" hidden="false" customHeight="true" outlineLevel="0" collapsed="false">
      <c r="A85" s="2"/>
      <c r="B85" s="34" t="n">
        <f aca="false">B83/B15</f>
        <v>498.27281293597</v>
      </c>
      <c r="C85" s="34" t="n">
        <f aca="false">C83/C15</f>
        <v>514.17012796804</v>
      </c>
      <c r="D85" s="34" t="n">
        <f aca="false">D83/D15</f>
        <v>526.951024393677</v>
      </c>
      <c r="E85" s="34" t="n">
        <f aca="false">E83/E15</f>
        <v>522.938365788878</v>
      </c>
      <c r="F85" s="34" t="n">
        <f aca="false">F83/F15</f>
        <v>486.503341312961</v>
      </c>
      <c r="G85" s="34" t="n">
        <f aca="false">G83/G15</f>
        <v>490.214598738268</v>
      </c>
      <c r="H85" s="34" t="n">
        <f aca="false">H83/H15</f>
        <v>490.378083886315</v>
      </c>
      <c r="I85" s="34" t="n">
        <f aca="false">I83/I15</f>
        <v>497.270633136353</v>
      </c>
      <c r="J85" s="34" t="n">
        <f aca="false">J83/J15</f>
        <v>501.113119279415</v>
      </c>
      <c r="K85" s="34" t="n">
        <f aca="false">K83/K15</f>
        <v>509.681214534833</v>
      </c>
      <c r="L85" s="34" t="n">
        <f aca="false">L83/L15</f>
        <v>526.448784588318</v>
      </c>
      <c r="M85" s="34" t="n">
        <f aca="false">M83/M15</f>
        <v>515.966250530083</v>
      </c>
      <c r="N85" s="0"/>
    </row>
    <row r="86" customFormat="false" ht="15.8" hidden="false" customHeight="true" outlineLevel="0" collapsed="false">
      <c r="A86" s="153" t="s">
        <v>81</v>
      </c>
      <c r="B86" s="154" t="n">
        <f aca="false">B73*B54</f>
        <v>4449720000</v>
      </c>
      <c r="C86" s="154" t="n">
        <f aca="false">C73*C54</f>
        <v>4636860000</v>
      </c>
      <c r="D86" s="154" t="n">
        <f aca="false">D73*D54</f>
        <v>4726430000</v>
      </c>
      <c r="E86" s="154" t="n">
        <f aca="false">E73*E54</f>
        <v>3649240000</v>
      </c>
      <c r="F86" s="154" t="n">
        <f aca="false">F73*F54</f>
        <v>1764730000</v>
      </c>
      <c r="G86" s="154" t="n">
        <f aca="false">G73*G54</f>
        <v>767980000</v>
      </c>
      <c r="H86" s="154" t="n">
        <f aca="false">H73*H54</f>
        <v>665610000</v>
      </c>
      <c r="I86" s="154" t="n">
        <f aca="false">I73*I54</f>
        <v>433170000</v>
      </c>
      <c r="J86" s="154" t="n">
        <f aca="false">J73*J54</f>
        <v>324050000</v>
      </c>
      <c r="K86" s="154" t="n">
        <f aca="false">K73*K54</f>
        <v>324051000</v>
      </c>
      <c r="L86" s="154" t="n">
        <f aca="false">L73*L54</f>
        <v>322802000</v>
      </c>
      <c r="M86" s="154" t="n">
        <f aca="false">M73*M54</f>
        <v>281117000</v>
      </c>
      <c r="N86" s="0"/>
    </row>
    <row r="87" customFormat="false" ht="15.8" hidden="false" customHeight="true" outlineLevel="0" collapsed="false">
      <c r="A87" s="153" t="s">
        <v>82</v>
      </c>
      <c r="B87" s="155" t="n">
        <f aca="false">B49/B86</f>
        <v>1.71440131783573</v>
      </c>
      <c r="C87" s="155" t="n">
        <f aca="false">C49/C86</f>
        <v>1.75134546977912</v>
      </c>
      <c r="D87" s="155" t="n">
        <f aca="false">D49/D86</f>
        <v>1.79367382950768</v>
      </c>
      <c r="E87" s="155" t="n">
        <f aca="false">D87+0.0412</f>
        <v>1.83487382950768</v>
      </c>
      <c r="F87" s="155" t="n">
        <f aca="false">E87+0.02</f>
        <v>1.85487382950768</v>
      </c>
      <c r="G87" s="155" t="n">
        <f aca="false">F87+0.0325</f>
        <v>1.88737382950768</v>
      </c>
      <c r="H87" s="155" t="n">
        <v>1.9194</v>
      </c>
      <c r="I87" s="155" t="n">
        <f aca="false">G87+0.032</f>
        <v>1.91937382950768</v>
      </c>
      <c r="J87" s="155" t="n">
        <f aca="false">I87+0.0569</f>
        <v>1.97627382950768</v>
      </c>
      <c r="K87" s="155" t="n">
        <f aca="false">J87</f>
        <v>1.97627382950768</v>
      </c>
      <c r="L87" s="155" t="n">
        <f aca="false">K87</f>
        <v>1.97627382950768</v>
      </c>
      <c r="M87" s="155" t="n">
        <f aca="false">L87</f>
        <v>1.97627382950768</v>
      </c>
      <c r="N87" s="0"/>
    </row>
    <row r="88" customFormat="false" ht="15" hidden="false" customHeight="true" outlineLevel="0" collapsed="false">
      <c r="A88" s="153"/>
      <c r="B88" s="154" t="n">
        <f aca="false">B87*B86</f>
        <v>7628605832</v>
      </c>
      <c r="C88" s="154" t="n">
        <f aca="false">C87*C86</f>
        <v>8120743755</v>
      </c>
      <c r="D88" s="154" t="n">
        <f aca="false">D87*D86</f>
        <v>8477673798</v>
      </c>
      <c r="E88" s="154" t="n">
        <f aca="false">E87*E86</f>
        <v>6695894973.59262</v>
      </c>
      <c r="F88" s="154" t="n">
        <f aca="false">F87*F86</f>
        <v>3273351493.14709</v>
      </c>
      <c r="G88" s="154" t="n">
        <f aca="false">G87*G86</f>
        <v>1449465353.58531</v>
      </c>
      <c r="H88" s="154" t="n">
        <f aca="false">H87*H86</f>
        <v>1277571834</v>
      </c>
      <c r="I88" s="154" t="n">
        <f aca="false">I87*I86</f>
        <v>831415161.727843</v>
      </c>
      <c r="J88" s="154" t="n">
        <f aca="false">J87*J86</f>
        <v>640411534.451965</v>
      </c>
      <c r="K88" s="154" t="n">
        <f aca="false">K87*K86</f>
        <v>640413510.725794</v>
      </c>
      <c r="L88" s="154" t="n">
        <f aca="false">L87*L86</f>
        <v>637945144.712739</v>
      </c>
      <c r="M88" s="154" t="n">
        <f aca="false">M87*M86</f>
        <v>555564170.12971</v>
      </c>
      <c r="N88" s="0"/>
    </row>
    <row r="89" customFormat="false" ht="15.8" hidden="false" customHeight="true" outlineLevel="0" collapsed="false">
      <c r="A89" s="79" t="s">
        <v>83</v>
      </c>
      <c r="B89" s="156" t="n">
        <f aca="false">B68+B81</f>
        <v>4449.72</v>
      </c>
      <c r="C89" s="156" t="n">
        <f aca="false">C68+C81</f>
        <v>4636.86</v>
      </c>
      <c r="D89" s="156" t="n">
        <f aca="false">D68+D81</f>
        <v>4726.43</v>
      </c>
      <c r="E89" s="156" t="n">
        <f aca="false">E68+E81</f>
        <v>4762.54270624008</v>
      </c>
      <c r="F89" s="156" t="n">
        <f aca="false">F68+F81</f>
        <v>4468.06013128402</v>
      </c>
      <c r="G89" s="156" t="n">
        <f aca="false">G68+G81</f>
        <v>4418.71809161467</v>
      </c>
      <c r="H89" s="156" t="n">
        <f aca="false">H68+H81</f>
        <v>4476.78399506603</v>
      </c>
      <c r="I89" s="156" t="n">
        <f aca="false">I68+I81</f>
        <v>4406.6136221158</v>
      </c>
      <c r="J89" s="156" t="n">
        <f aca="false">J68+J81</f>
        <v>4415.60495978552</v>
      </c>
      <c r="K89" s="156" t="n">
        <f aca="false">K68+K81</f>
        <v>4497.1073002681</v>
      </c>
      <c r="L89" s="156" t="n">
        <f aca="false">L68+L81</f>
        <v>4987.35296574165</v>
      </c>
      <c r="M89" s="156" t="n">
        <f aca="false">M68+M81</f>
        <v>4561.27785790885</v>
      </c>
      <c r="N89" s="0"/>
    </row>
    <row r="90" customFormat="false" ht="15.8" hidden="false" customHeight="true" outlineLevel="0" collapsed="false">
      <c r="A90" s="79" t="s">
        <v>84</v>
      </c>
      <c r="B90" s="157" t="n">
        <f aca="false">B74+B81</f>
        <v>3999.6812749004</v>
      </c>
      <c r="C90" s="157" t="n">
        <f aca="false">C74+C81</f>
        <v>4051.21713729309</v>
      </c>
      <c r="D90" s="157" t="n">
        <f aca="false">D74+D81</f>
        <v>4118.9039628704</v>
      </c>
      <c r="E90" s="157" t="n">
        <f aca="false">E74+E81</f>
        <v>4253.16377140713</v>
      </c>
      <c r="F90" s="157" t="n">
        <f aca="false">F74+F81</f>
        <v>4281.50816522574</v>
      </c>
      <c r="G90" s="157" t="n">
        <f aca="false">G74+G81</f>
        <v>4322.60814639252</v>
      </c>
      <c r="H90" s="157" t="n">
        <f aca="false">H74+H81</f>
        <v>4444.06720458431</v>
      </c>
      <c r="I90" s="157" t="n">
        <f aca="false">I74+I81</f>
        <v>4336.72568827947</v>
      </c>
      <c r="J90" s="157" t="n">
        <f aca="false">J74+J81</f>
        <v>4328.44772117963</v>
      </c>
      <c r="K90" s="157" t="n">
        <f aca="false">K74+K81</f>
        <v>4416.63136729223</v>
      </c>
      <c r="L90" s="157" t="n">
        <f aca="false">L74+L81</f>
        <v>4909.58045635827</v>
      </c>
      <c r="M90" s="157" t="n">
        <f aca="false">M74+M81</f>
        <v>4487.6072386059</v>
      </c>
      <c r="N90" s="0" t="n">
        <f aca="false">L90-M90</f>
        <v>421.973217752369</v>
      </c>
    </row>
    <row r="91" customFormat="false" ht="15.8" hidden="false" customHeight="true" outlineLevel="0" collapsed="false">
      <c r="A91" s="79" t="s">
        <v>85</v>
      </c>
      <c r="B91" s="158" t="n">
        <f aca="false">B90*1000000/B54</f>
        <v>74281041.9656404</v>
      </c>
      <c r="C91" s="158" t="n">
        <f aca="false">C90*1000000/C54</f>
        <v>74504731.6942267</v>
      </c>
      <c r="D91" s="158" t="n">
        <f aca="false">D90*1000000/D54</f>
        <v>75328705.9605599</v>
      </c>
      <c r="E91" s="158" t="n">
        <f aca="false">E90*1000000/E54</f>
        <v>77261698.1915524</v>
      </c>
      <c r="F91" s="158" t="n">
        <f aca="false">F90*1000000/F54</f>
        <v>77248263.2520842</v>
      </c>
      <c r="G91" s="158" t="n">
        <f aca="false">G90*1000000/G54</f>
        <v>77795821.8325432</v>
      </c>
      <c r="H91" s="158" t="n">
        <f aca="false">H90*1000000/H54</f>
        <v>79981772.2890802</v>
      </c>
      <c r="I91" s="158" t="n">
        <f aca="false">I90*1000000/I54</f>
        <v>78049901.2531513</v>
      </c>
      <c r="J91" s="158" t="n">
        <f aca="false">J90*1000000/J54</f>
        <v>77900919.1497948</v>
      </c>
      <c r="K91" s="158" t="n">
        <f aca="false">K90*1000000/K54</f>
        <v>79487997.8275707</v>
      </c>
      <c r="L91" s="158" t="n">
        <f aca="false">L90*1000000/L54</f>
        <v>88359812.7612241</v>
      </c>
      <c r="M91" s="158" t="n">
        <f aca="false">M90*1000000/M54</f>
        <v>80765380.8454453</v>
      </c>
      <c r="N91" s="0" t="n">
        <f aca="false">M91/K91</f>
        <v>1.01607013703686</v>
      </c>
    </row>
    <row r="92" customFormat="false" ht="15.8" hidden="false" customHeight="true" outlineLevel="0" collapsed="false">
      <c r="A92" s="79" t="s">
        <v>86</v>
      </c>
      <c r="B92" s="159" t="n">
        <f aca="false">B83-B91</f>
        <v>8358002.3326032</v>
      </c>
      <c r="C92" s="159" t="n">
        <f aca="false">C83-C91</f>
        <v>10770384.0292727</v>
      </c>
      <c r="D92" s="159" t="n">
        <f aca="false">D83-D91</f>
        <v>11110759.2279057</v>
      </c>
      <c r="E92" s="159" t="n">
        <f aca="false">E83-E91</f>
        <v>9253225.04455949</v>
      </c>
      <c r="F92" s="159" t="n">
        <f aca="false">F83-F91</f>
        <v>3365826.9068148</v>
      </c>
      <c r="G92" s="159" t="n">
        <f aca="false">G83-G91</f>
        <v>1729731.6623711</v>
      </c>
      <c r="H92" s="159" t="n">
        <f aca="false">H83-H91</f>
        <v>588818.027692974</v>
      </c>
      <c r="I92" s="159" t="n">
        <f aca="false">I83-I91</f>
        <v>1257802.9432331</v>
      </c>
      <c r="J92" s="159" t="n">
        <f aca="false">J83-J91</f>
        <v>1568605.9842505</v>
      </c>
      <c r="K92" s="159" t="n">
        <f aca="false">K83-K91</f>
        <v>1448359.6781317</v>
      </c>
      <c r="L92" s="159" t="n">
        <f aca="false">L83-L91</f>
        <v>1399705.01108421</v>
      </c>
      <c r="M92" s="159" t="n">
        <f aca="false">M83-M91</f>
        <v>1325881.54639196</v>
      </c>
      <c r="N92" s="160" t="n">
        <f aca="false">M92/K92</f>
        <v>0.915436660113509</v>
      </c>
    </row>
    <row r="93" customFormat="false" ht="15.8" hidden="false" customHeight="true" outlineLevel="0" collapsed="false">
      <c r="A93" s="0"/>
      <c r="B93" s="161" t="n">
        <f aca="false">B87-B55</f>
        <v>1.21240131783573</v>
      </c>
      <c r="C93" s="161" t="n">
        <f aca="false">C87-C55</f>
        <v>1.23784546977912</v>
      </c>
      <c r="D93" s="161" t="n">
        <f aca="false">D87-D55</f>
        <v>1.23347382950768</v>
      </c>
      <c r="E93" s="161" t="n">
        <f aca="false">E87-E55</f>
        <v>1.23027382950768</v>
      </c>
      <c r="F93" s="161" t="n">
        <f aca="false">F87-F55</f>
        <v>1.23027382950768</v>
      </c>
      <c r="G93" s="161" t="n">
        <f aca="false">G87-G55</f>
        <v>1.23017382950768</v>
      </c>
      <c r="H93" s="161" t="n">
        <f aca="false">H87-H55</f>
        <v>1.2302</v>
      </c>
      <c r="I93" s="161" t="n">
        <f aca="false">I87-I55</f>
        <v>1.23017382950768</v>
      </c>
      <c r="J93" s="161" t="n">
        <f aca="false">J87-J55</f>
        <v>1.23027382950768</v>
      </c>
      <c r="K93" s="161" t="n">
        <f aca="false">K87-K55</f>
        <v>1.23027382950768</v>
      </c>
      <c r="L93" s="161" t="n">
        <f aca="false">L87-L55</f>
        <v>1.23027382950768</v>
      </c>
      <c r="M93" s="161" t="n">
        <f aca="false">M87-M55</f>
        <v>1.23027382950768</v>
      </c>
      <c r="N93" s="0"/>
    </row>
    <row r="94" customFormat="false" ht="15.8" hidden="false" customHeight="true" outlineLevel="0" collapsed="false">
      <c r="A94" s="0"/>
      <c r="B94" s="0"/>
      <c r="C94" s="0"/>
      <c r="D94" s="0"/>
      <c r="E94" s="0"/>
      <c r="F94" s="2"/>
      <c r="G94" s="0"/>
      <c r="H94" s="0"/>
      <c r="I94" s="0"/>
      <c r="J94" s="127"/>
      <c r="K94" s="0"/>
      <c r="L94" s="0"/>
      <c r="M94" s="0"/>
      <c r="N94" s="0"/>
    </row>
    <row r="95" customFormat="false" ht="15" hidden="false" customHeight="true" outlineLevel="0" collapsed="false">
      <c r="A95" s="1" t="s">
        <v>87</v>
      </c>
      <c r="B95" s="62" t="n">
        <f aca="false">B83/B15</f>
        <v>498.27281293597</v>
      </c>
      <c r="C95" s="62" t="n">
        <f aca="false">C83/C15</f>
        <v>514.17012796804</v>
      </c>
      <c r="D95" s="1" t="n">
        <f aca="false">D83/D15</f>
        <v>526.951024393677</v>
      </c>
      <c r="E95" s="1" t="n">
        <f aca="false">E83/E15</f>
        <v>522.938365788878</v>
      </c>
      <c r="F95" s="1" t="n">
        <f aca="false">F91/F13</f>
        <v>685.797791655577</v>
      </c>
      <c r="G95" s="1" t="n">
        <f aca="false">G91/G13</f>
        <v>555.716196872273</v>
      </c>
      <c r="H95" s="1" t="n">
        <f aca="false">H91/H13</f>
        <v>544.075183082754</v>
      </c>
      <c r="I95" s="1" t="n">
        <f aca="false">I91/I13</f>
        <v>530.691778538072</v>
      </c>
      <c r="J95" s="1" t="n">
        <f aca="false">J91/J13</f>
        <v>519.131808275322</v>
      </c>
      <c r="K95" s="1" t="n">
        <f aca="false">K91/K13</f>
        <v>528.598489293903</v>
      </c>
      <c r="L95" s="1" t="n">
        <f aca="false">L91/L13</f>
        <v>548.042602781304</v>
      </c>
      <c r="M95" s="1" t="n">
        <f aca="false">M91/M13</f>
        <v>531.386149387758</v>
      </c>
      <c r="N95" s="0"/>
    </row>
    <row r="96" customFormat="false" ht="15.8" hidden="false" customHeight="true" outlineLevel="0" collapsed="false">
      <c r="A96" s="0"/>
      <c r="B96" s="127" t="n">
        <f aca="false">B95*B54*B87</f>
        <v>45996.7430524989</v>
      </c>
      <c r="C96" s="1" t="n">
        <f aca="false">C95*C54*C87</f>
        <v>48964.3880313537</v>
      </c>
      <c r="D96" s="1" t="n">
        <f aca="false">D95*D54*D87</f>
        <v>51681.4730700999</v>
      </c>
      <c r="E96" s="1" t="n">
        <f aca="false">E95*E54*E87</f>
        <v>52820.7505657193</v>
      </c>
      <c r="F96" s="1" t="n">
        <f aca="false">F95*F54*F87</f>
        <v>70504.7713645301</v>
      </c>
      <c r="G96" s="1" t="n">
        <f aca="false">G95*G54*G87</f>
        <v>58277.4550739895</v>
      </c>
      <c r="H96" s="1" t="n">
        <f aca="false">H95*H54*H87</f>
        <v>58024.8467227586</v>
      </c>
      <c r="I96" s="1" t="n">
        <f aca="false">I95*I54*I87</f>
        <v>56596.7539153428</v>
      </c>
      <c r="J96" s="1" t="n">
        <f aca="false">J95*J54*J87</f>
        <v>57005.1842846824</v>
      </c>
      <c r="K96" s="1" t="n">
        <f aca="false">K95*K54*K87</f>
        <v>58044.7081347455</v>
      </c>
      <c r="L96" s="1" t="n">
        <f aca="false">L95*L54*L87</f>
        <v>60179.8407830106</v>
      </c>
      <c r="M96" s="1" t="n">
        <f aca="false">M95*M54*M87</f>
        <v>58350.8174403978</v>
      </c>
      <c r="N96" s="0"/>
    </row>
    <row r="97" customFormat="false" ht="13.8" hidden="false" customHeight="false" outlineLevel="0" collapsed="false">
      <c r="A97" s="0"/>
      <c r="B97" s="0"/>
      <c r="C97" s="0"/>
      <c r="D97" s="0"/>
      <c r="E97" s="0"/>
      <c r="F97" s="0"/>
      <c r="G97" s="0"/>
      <c r="H97" s="0"/>
      <c r="I97" s="0"/>
      <c r="J97" s="0"/>
      <c r="K97" s="0"/>
      <c r="L97" s="0"/>
      <c r="M97" s="0"/>
      <c r="N97" s="0"/>
    </row>
    <row r="98" customFormat="false" ht="15" hidden="false" customHeight="true" outlineLevel="0" collapsed="false">
      <c r="A98" s="1" t="s">
        <v>88</v>
      </c>
      <c r="B98" s="127" t="n">
        <f aca="false">B91/B15</f>
        <v>447.878167545812</v>
      </c>
      <c r="C98" s="127" t="n">
        <f aca="false">C91/C15</f>
        <v>449.229615280233</v>
      </c>
      <c r="D98" s="127" t="n">
        <f aca="false">D91/D15</f>
        <v>459.21777379835</v>
      </c>
      <c r="E98" s="127" t="n">
        <f aca="false">E91/E15</f>
        <v>467.007363343523</v>
      </c>
      <c r="F98" s="127" t="n">
        <f aca="false">F91/F15</f>
        <v>466.190688360868</v>
      </c>
      <c r="G98" s="127" t="n">
        <f aca="false">G91/G15</f>
        <v>479.552117617048</v>
      </c>
      <c r="H98" s="127" t="n">
        <f aca="false">H91/H15</f>
        <v>486.794351223534</v>
      </c>
      <c r="I98" s="127" t="n">
        <f aca="false">I91/I15</f>
        <v>489.38402902544</v>
      </c>
      <c r="J98" s="127" t="n">
        <f aca="false">J91/J15</f>
        <v>491.221918389989</v>
      </c>
      <c r="K98" s="127" t="n">
        <f aca="false">K91/K15</f>
        <v>500.560446778742</v>
      </c>
      <c r="L98" s="127" t="n">
        <f aca="false">L91/L15</f>
        <v>518.239371033572</v>
      </c>
      <c r="M98" s="127" t="n">
        <f aca="false">M91/M15</f>
        <v>507.632718918966</v>
      </c>
      <c r="N98" s="1" t="n">
        <f aca="false">7.63*55.5635*M15</f>
        <v>67451214.14451</v>
      </c>
    </row>
    <row r="99" customFormat="false" ht="15.8" hidden="false" customHeight="true" outlineLevel="0" collapsed="false">
      <c r="A99" s="0"/>
      <c r="B99" s="0"/>
      <c r="C99" s="162" t="n">
        <f aca="false">C98/B98-1</f>
        <v>0.00301744499363998</v>
      </c>
      <c r="D99" s="162" t="n">
        <f aca="false">D98/C98-1</f>
        <v>0.022233971622476</v>
      </c>
      <c r="E99" s="162" t="n">
        <f aca="false">E98/D98-1</f>
        <v>0.0169627353069166</v>
      </c>
      <c r="F99" s="162" t="n">
        <f aca="false">F98/E98-1</f>
        <v>-0.00174874112649481</v>
      </c>
      <c r="G99" s="162" t="n">
        <f aca="false">G98/F98-1</f>
        <v>0.0286608668722206</v>
      </c>
      <c r="H99" s="162"/>
      <c r="I99" s="162" t="n">
        <f aca="false">I98/G98-1</f>
        <v>0.0205022792042875</v>
      </c>
      <c r="J99" s="162" t="n">
        <f aca="false">J98/I98-1</f>
        <v>0.00375551561870369</v>
      </c>
      <c r="K99" s="162" t="n">
        <f aca="false">K98/J98-1</f>
        <v>0.0190108137262295</v>
      </c>
      <c r="L99" s="162" t="n">
        <f aca="false">L98/K98-1</f>
        <v>0.0353182604990052</v>
      </c>
      <c r="M99" s="162" t="n">
        <f aca="false">M98/K98-1</f>
        <v>0.0141287075032308</v>
      </c>
      <c r="N99" s="1" t="n">
        <f aca="false">11398*507.63*55.5635</f>
        <v>321488562.95799</v>
      </c>
    </row>
    <row r="100" customFormat="false" ht="15" hidden="false" customHeight="true" outlineLevel="0" collapsed="false">
      <c r="A100" s="0"/>
      <c r="B100" s="56" t="n">
        <v>2006</v>
      </c>
      <c r="C100" s="56" t="n">
        <v>2007</v>
      </c>
      <c r="D100" s="56" t="n">
        <v>2008</v>
      </c>
      <c r="E100" s="56" t="n">
        <v>2009</v>
      </c>
      <c r="F100" s="56" t="n">
        <v>2010</v>
      </c>
      <c r="G100" s="56" t="n">
        <v>2011</v>
      </c>
      <c r="H100" s="56"/>
      <c r="I100" s="56" t="n">
        <v>2012</v>
      </c>
      <c r="J100" s="56" t="n">
        <v>2013</v>
      </c>
      <c r="K100" s="56" t="n">
        <v>2014</v>
      </c>
      <c r="L100" s="57" t="n">
        <v>2015</v>
      </c>
      <c r="M100" s="1" t="n">
        <v>2015</v>
      </c>
      <c r="N100" s="1" t="n">
        <f aca="false">11398*507*0.746*55.5635</f>
        <v>239532823.629606</v>
      </c>
    </row>
    <row r="101" customFormat="false" ht="15.8" hidden="false" customHeight="true" outlineLevel="0" collapsed="false">
      <c r="A101" s="2" t="s">
        <v>89</v>
      </c>
      <c r="B101" s="163" t="n">
        <f aca="false">B70+B80</f>
        <v>2007.84</v>
      </c>
      <c r="C101" s="163" t="n">
        <f aca="false">C70+C80</f>
        <v>2080.3</v>
      </c>
      <c r="D101" s="163" t="n">
        <f aca="false">D70+D80</f>
        <v>2307.41</v>
      </c>
      <c r="E101" s="163" t="n">
        <f aca="false">E70+E80</f>
        <v>2571.46281619275</v>
      </c>
      <c r="F101" s="163" t="n">
        <f aca="false">F65+F75</f>
        <v>2674.23</v>
      </c>
      <c r="G101" s="163" t="n">
        <f aca="false">G65+G75</f>
        <v>2840.453</v>
      </c>
      <c r="H101" s="163" t="n">
        <f aca="false">H70+H80</f>
        <v>3062.47</v>
      </c>
      <c r="I101" s="163" t="n">
        <f aca="false">I70+I80</f>
        <v>2988.474</v>
      </c>
      <c r="J101" s="163" t="n">
        <f aca="false">J70+J80</f>
        <v>3229.022</v>
      </c>
      <c r="K101" s="163" t="n">
        <f aca="false">K70+K80</f>
        <v>3294.807</v>
      </c>
      <c r="L101" s="163" t="n">
        <f aca="false">L70+L80</f>
        <v>3662.54702044327</v>
      </c>
      <c r="M101" s="163" t="n">
        <f aca="false">M70+M80</f>
        <v>3347.755</v>
      </c>
      <c r="N101" s="1" t="n">
        <f aca="false">N100+N99</f>
        <v>561021386.587596</v>
      </c>
    </row>
    <row r="102" customFormat="false" ht="18.15" hidden="false" customHeight="true" outlineLevel="0" collapsed="false">
      <c r="A102" s="2" t="s">
        <v>90</v>
      </c>
      <c r="B102" s="164" t="n">
        <f aca="false">B89</f>
        <v>4449.72</v>
      </c>
      <c r="C102" s="164" t="n">
        <f aca="false">C89</f>
        <v>4636.86</v>
      </c>
      <c r="D102" s="164" t="n">
        <f aca="false">D89</f>
        <v>4726.43</v>
      </c>
      <c r="E102" s="164" t="n">
        <f aca="false">E89</f>
        <v>4762.54270624008</v>
      </c>
      <c r="F102" s="164" t="n">
        <f aca="false">F89</f>
        <v>4468.06013128402</v>
      </c>
      <c r="G102" s="164" t="n">
        <f aca="false">G89</f>
        <v>4418.71809161467</v>
      </c>
      <c r="H102" s="164" t="n">
        <f aca="false">H89</f>
        <v>4476.78399506603</v>
      </c>
      <c r="I102" s="164" t="n">
        <f aca="false">I89</f>
        <v>4406.6136221158</v>
      </c>
      <c r="J102" s="164" t="n">
        <f aca="false">J89</f>
        <v>4415.60495978552</v>
      </c>
      <c r="K102" s="164" t="n">
        <f aca="false">K89</f>
        <v>4497.1073002681</v>
      </c>
      <c r="L102" s="164" t="n">
        <f aca="false">L89</f>
        <v>4987.35296574165</v>
      </c>
      <c r="M102" s="164" t="n">
        <f aca="false">M89</f>
        <v>4561.27785790885</v>
      </c>
      <c r="N102" s="0" t="n">
        <f aca="false">M102-I102</f>
        <v>154.66423579305</v>
      </c>
    </row>
    <row r="103" customFormat="false" ht="18.15" hidden="false" customHeight="true" outlineLevel="0" collapsed="false">
      <c r="A103" s="1" t="s">
        <v>91</v>
      </c>
      <c r="B103" s="165" t="n">
        <f aca="false">B101+B102</f>
        <v>6457.56</v>
      </c>
      <c r="C103" s="165" t="n">
        <f aca="false">C101+C102</f>
        <v>6717.16</v>
      </c>
      <c r="D103" s="165" t="n">
        <f aca="false">D101+D102</f>
        <v>7033.84</v>
      </c>
      <c r="E103" s="165" t="n">
        <f aca="false">E101+E102</f>
        <v>7334.00552243283</v>
      </c>
      <c r="F103" s="165" t="n">
        <f aca="false">F101+F102</f>
        <v>7142.29013128402</v>
      </c>
      <c r="G103" s="165" t="n">
        <f aca="false">G101+G102</f>
        <v>7259.17109161467</v>
      </c>
      <c r="H103" s="165" t="n">
        <f aca="false">H101+H102</f>
        <v>7539.25399506603</v>
      </c>
      <c r="I103" s="165" t="n">
        <f aca="false">I101+I102</f>
        <v>7395.0876221158</v>
      </c>
      <c r="J103" s="165" t="n">
        <f aca="false">J101+J102</f>
        <v>7644.62695978552</v>
      </c>
      <c r="K103" s="165" t="n">
        <f aca="false">K101+K102</f>
        <v>7791.9143002681</v>
      </c>
      <c r="L103" s="165" t="n">
        <f aca="false">L101+L102</f>
        <v>8649.89998618492</v>
      </c>
      <c r="M103" s="165" t="n">
        <f aca="false">M101+M102</f>
        <v>7909.03285790885</v>
      </c>
      <c r="N103" s="0"/>
    </row>
    <row r="104" customFormat="false" ht="18.15" hidden="false" customHeight="true" outlineLevel="0" collapsed="false">
      <c r="A104" s="0"/>
      <c r="B104" s="166" t="n">
        <f aca="false">B50/1000000-B103</f>
        <v>1171.045832</v>
      </c>
      <c r="C104" s="166" t="n">
        <f aca="false">C50/1000000-C103</f>
        <v>1403.583755</v>
      </c>
      <c r="D104" s="166" t="n">
        <f aca="false">D50/1000000-D103</f>
        <v>1443.833798</v>
      </c>
      <c r="E104" s="166" t="n">
        <f aca="false">E50/1000000-E103</f>
        <v>1360.88542656717</v>
      </c>
      <c r="F104" s="166" t="n">
        <f aca="false">F50/1000000-F103</f>
        <v>1979.12065871598</v>
      </c>
      <c r="G104" s="166" t="n">
        <f aca="false">G50/1000000-G103</f>
        <v>2088.69978638533</v>
      </c>
      <c r="H104" s="166" t="n">
        <f aca="false">H50/1000000-H103</f>
        <v>1773.44391893397</v>
      </c>
      <c r="I104" s="166" t="n">
        <f aca="false">I50/1000000-I103</f>
        <v>2107.6734558842</v>
      </c>
      <c r="J104" s="166" t="n">
        <f aca="false">J50/1000000-J103</f>
        <v>2124.70990721448</v>
      </c>
      <c r="K104" s="166" t="n">
        <f aca="false">K50/1000000-K103</f>
        <v>2075.1925937319</v>
      </c>
      <c r="L104" s="166" t="n">
        <f aca="false">L50/1000000-L103</f>
        <v>1141.59939781508</v>
      </c>
      <c r="M104" s="166" t="n">
        <f aca="false">M50/1000000-M103</f>
        <v>2106.38103709115</v>
      </c>
      <c r="N104" s="1" t="n">
        <f aca="false">M83*55.5635*0.006*6/12</f>
        <v>13683833.5737265</v>
      </c>
    </row>
    <row r="105" customFormat="false" ht="15.8" hidden="false" customHeight="true" outlineLevel="0" collapsed="false">
      <c r="A105" s="2" t="s">
        <v>61</v>
      </c>
      <c r="B105" s="2" t="n">
        <v>53.84525</v>
      </c>
      <c r="C105" s="2" t="n">
        <v>54.3753</v>
      </c>
      <c r="D105" s="1" t="n">
        <v>54.679075</v>
      </c>
      <c r="E105" s="1" t="n">
        <v>55.0488</v>
      </c>
      <c r="F105" s="1" t="n">
        <v>55.4253</v>
      </c>
      <c r="G105" s="1" t="n">
        <v>55.5635</v>
      </c>
      <c r="I105" s="1" t="n">
        <v>55.5635</v>
      </c>
      <c r="J105" s="1" t="n">
        <v>55.5635</v>
      </c>
      <c r="K105" s="113" t="n">
        <v>55.5635</v>
      </c>
      <c r="L105" s="113" t="n">
        <v>55.5635</v>
      </c>
      <c r="M105" s="113" t="n">
        <v>55.5635</v>
      </c>
      <c r="N105" s="1" t="n">
        <f aca="false">1.9763*N104</f>
        <v>27043360.2917558</v>
      </c>
    </row>
    <row r="106" customFormat="false" ht="15" hidden="false" customHeight="true" outlineLevel="0" collapsed="false">
      <c r="A106" s="2" t="s">
        <v>62</v>
      </c>
      <c r="B106" s="2" t="n">
        <v>0.502</v>
      </c>
      <c r="C106" s="2" t="n">
        <v>0.5135</v>
      </c>
      <c r="D106" s="1" t="n">
        <v>0.5602</v>
      </c>
      <c r="E106" s="1" t="n">
        <v>0.6046</v>
      </c>
      <c r="F106" s="1" t="n">
        <v>0.6246</v>
      </c>
      <c r="G106" s="1" t="n">
        <v>0.6572</v>
      </c>
      <c r="I106" s="1" t="n">
        <v>0.6892</v>
      </c>
      <c r="J106" s="1" t="n">
        <v>0.746</v>
      </c>
      <c r="K106" s="114" t="n">
        <v>0.746</v>
      </c>
      <c r="L106" s="114" t="n">
        <v>0.746</v>
      </c>
      <c r="M106" s="0" t="n">
        <v>0.746</v>
      </c>
      <c r="N106" s="0"/>
    </row>
    <row r="107" customFormat="false" ht="15" hidden="false" customHeight="true" outlineLevel="0" collapsed="false">
      <c r="B107" s="2"/>
      <c r="C107" s="2"/>
      <c r="D107" s="0"/>
      <c r="E107" s="0"/>
      <c r="F107" s="0"/>
      <c r="G107" s="0"/>
      <c r="H107" s="0"/>
      <c r="I107" s="0"/>
      <c r="J107" s="127"/>
      <c r="M107" s="0"/>
      <c r="N107" s="0"/>
    </row>
    <row r="108" customFormat="false" ht="15.8" hidden="false" customHeight="true" outlineLevel="0" collapsed="false">
      <c r="B108" s="0"/>
      <c r="C108" s="0"/>
      <c r="D108" s="127"/>
      <c r="E108" s="0"/>
      <c r="F108" s="0"/>
      <c r="G108" s="0"/>
      <c r="H108" s="0"/>
      <c r="I108" s="0" t="n">
        <f aca="false">M101-I101</f>
        <v>359.281</v>
      </c>
      <c r="J108" s="127"/>
      <c r="M108" s="1" t="n">
        <f aca="false">M103-I103</f>
        <v>513.94523579305</v>
      </c>
      <c r="N108" s="1" t="n">
        <f aca="false">82091262*0.014*55.5635</f>
        <v>63857889.705918</v>
      </c>
    </row>
    <row r="109" customFormat="false" ht="15" hidden="false" customHeight="true" outlineLevel="0" collapsed="false">
      <c r="B109" s="127" t="n">
        <f aca="false">L101-B101</f>
        <v>1654.70702044327</v>
      </c>
      <c r="C109" s="0"/>
      <c r="D109" s="0"/>
      <c r="E109" s="0"/>
      <c r="F109" s="0"/>
      <c r="G109" s="0"/>
      <c r="H109" s="0"/>
      <c r="I109" s="0"/>
    </row>
    <row r="110" customFormat="false" ht="15" hidden="false" customHeight="true" outlineLevel="0" collapsed="false">
      <c r="B110" s="127" t="n">
        <f aca="false">2133.39-B109</f>
        <v>478.682979556728</v>
      </c>
      <c r="C110" s="0"/>
      <c r="D110" s="0"/>
      <c r="E110" s="0"/>
      <c r="F110" s="0"/>
      <c r="G110" s="0"/>
      <c r="H110" s="0"/>
      <c r="I110" s="0"/>
    </row>
    <row r="111" customFormat="false" ht="15" hidden="false" customHeight="true" outlineLevel="0" collapsed="false">
      <c r="B111" s="0"/>
      <c r="C111" s="0"/>
      <c r="D111" s="0"/>
      <c r="E111" s="0"/>
      <c r="F111" s="0"/>
      <c r="G111" s="0"/>
      <c r="H111" s="0"/>
      <c r="I111" s="0"/>
    </row>
    <row r="112" customFormat="false" ht="15.8" hidden="false" customHeight="true" outlineLevel="0" collapsed="false">
      <c r="B112" s="1" t="n">
        <f aca="false">L105/B105</f>
        <v>1.03191089278999</v>
      </c>
      <c r="C112" s="1" t="n">
        <f aca="false">(1.15)^(1/10)</f>
        <v>1.01407431783879</v>
      </c>
      <c r="D112" s="162" t="n">
        <f aca="false">L98/B98-1</f>
        <v>0.157098980451115</v>
      </c>
      <c r="E112" s="0"/>
      <c r="F112" s="0"/>
      <c r="G112" s="0"/>
      <c r="H112" s="0"/>
      <c r="I112" s="0"/>
    </row>
    <row r="113" customFormat="false" ht="13.8" hidden="false" customHeight="false" outlineLevel="0" collapsed="false">
      <c r="B113" s="0"/>
      <c r="C113" s="0"/>
      <c r="D113" s="0"/>
      <c r="E113" s="0"/>
      <c r="F113" s="0"/>
      <c r="G113" s="0"/>
      <c r="H113" s="0"/>
      <c r="I113" s="0"/>
    </row>
    <row r="114" customFormat="false" ht="15.8" hidden="false" customHeight="true" outlineLevel="0" collapsed="false">
      <c r="B114" s="167"/>
      <c r="C114" s="168"/>
      <c r="D114" s="168"/>
      <c r="E114" s="168"/>
      <c r="F114" s="168"/>
      <c r="G114" s="169"/>
      <c r="H114" s="169"/>
      <c r="I114" s="170"/>
    </row>
    <row r="115" customFormat="false" ht="15.8" hidden="false" customHeight="true" outlineLevel="0" collapsed="false">
      <c r="B115" s="167"/>
      <c r="C115" s="168"/>
      <c r="D115" s="168"/>
      <c r="E115" s="168"/>
      <c r="F115" s="168"/>
      <c r="G115" s="169"/>
      <c r="H115" s="169"/>
      <c r="I115" s="170"/>
    </row>
    <row r="116" customFormat="false" ht="15.8" hidden="false" customHeight="true" outlineLevel="0" collapsed="false">
      <c r="B116" s="171" t="n">
        <f aca="false">103.19-9.54</f>
        <v>93.65</v>
      </c>
      <c r="C116" s="168" t="n">
        <f aca="false">B116*(1-0.164)</f>
        <v>78.2914</v>
      </c>
      <c r="D116" s="168"/>
      <c r="E116" s="168"/>
      <c r="F116" s="168"/>
      <c r="G116" s="169"/>
      <c r="H116" s="169"/>
      <c r="I116" s="170"/>
    </row>
    <row r="117" customFormat="false" ht="13.8" hidden="false" customHeight="false" outlineLevel="0" collapsed="false">
      <c r="B117" s="0"/>
      <c r="C117" s="0"/>
    </row>
    <row r="118" customFormat="false" ht="15" hidden="false" customHeight="true" outlineLevel="0" collapsed="false">
      <c r="B118" s="1" t="n">
        <f aca="false">78.29/92.15</f>
        <v>0.849593054801953</v>
      </c>
      <c r="C118" s="1" t="n">
        <f aca="false">1-B118</f>
        <v>0.150406945198047</v>
      </c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I11" activeCellId="0" sqref="I11"/>
    </sheetView>
  </sheetViews>
  <sheetFormatPr defaultRowHeight="15"/>
  <cols>
    <col collapsed="false" hidden="false" max="2" min="1" style="1" width="11.6989795918367"/>
    <col collapsed="false" hidden="false" max="3" min="3" style="1" width="19.9795918367347"/>
    <col collapsed="false" hidden="false" max="4" min="4" style="1" width="19.1224489795918"/>
    <col collapsed="false" hidden="false" max="257" min="5" style="1" width="11.6989795918367"/>
    <col collapsed="false" hidden="false" max="1025" min="258" style="0" width="11.6989795918367"/>
  </cols>
  <sheetData>
    <row r="1" customFormat="false" ht="15.75" hidden="false" customHeight="true" outlineLevel="0" collapsed="false">
      <c r="A1" s="0"/>
      <c r="B1" s="0"/>
      <c r="C1" s="1" t="n">
        <v>2010</v>
      </c>
      <c r="D1" s="0"/>
      <c r="F1" s="0"/>
      <c r="G1" s="0"/>
      <c r="H1" s="0"/>
      <c r="I1" s="0"/>
    </row>
    <row r="2" customFormat="false" ht="15" hidden="false" customHeight="true" outlineLevel="0" collapsed="false">
      <c r="A2" s="172"/>
      <c r="B2" s="173" t="s">
        <v>92</v>
      </c>
      <c r="C2" s="34" t="n">
        <f aca="false">985458265/0.6247</f>
        <v>1577490419.40131</v>
      </c>
      <c r="D2" s="34"/>
      <c r="F2" s="115" t="s">
        <v>38</v>
      </c>
      <c r="G2" s="116" t="n">
        <v>56272.0527522936</v>
      </c>
      <c r="H2" s="1" t="n">
        <v>36280</v>
      </c>
      <c r="I2" s="127" t="n">
        <f aca="false">G2/H2-1</f>
        <v>0.551048863073142</v>
      </c>
    </row>
    <row r="3" customFormat="false" ht="15.75" hidden="false" customHeight="true" outlineLevel="0" collapsed="false">
      <c r="A3" s="172" t="s">
        <v>20</v>
      </c>
      <c r="B3" s="172" t="n">
        <v>0.6214</v>
      </c>
      <c r="C3" s="127" t="n">
        <f aca="false">$C$2*B3</f>
        <v>980252546.615976</v>
      </c>
      <c r="D3" s="34"/>
      <c r="F3" s="96" t="s">
        <v>39</v>
      </c>
      <c r="G3" s="97" t="n">
        <v>66080.7068231842</v>
      </c>
      <c r="H3" s="1" t="n">
        <v>42736</v>
      </c>
      <c r="I3" s="127" t="n">
        <f aca="false">G3/H3-1</f>
        <v>0.546253903575069</v>
      </c>
    </row>
    <row r="4" customFormat="false" ht="45" hidden="false" customHeight="true" outlineLevel="0" collapsed="false">
      <c r="A4" s="172" t="s">
        <v>93</v>
      </c>
      <c r="B4" s="172" t="n">
        <v>0.0033</v>
      </c>
      <c r="C4" s="127" t="n">
        <f aca="false">$C$2*B4</f>
        <v>5205718.38402433</v>
      </c>
      <c r="D4" s="0"/>
      <c r="F4" s="100" t="s">
        <v>40</v>
      </c>
      <c r="G4" s="97" t="n">
        <v>41339.0216465578</v>
      </c>
      <c r="H4" s="1" t="n">
        <v>18890</v>
      </c>
      <c r="I4" s="127" t="n">
        <f aca="false">G4/H4-1</f>
        <v>1.18840771024658</v>
      </c>
    </row>
    <row r="5" customFormat="false" ht="15" hidden="false" customHeight="true" outlineLevel="0" collapsed="false">
      <c r="A5" s="172" t="s">
        <v>94</v>
      </c>
      <c r="B5" s="172" t="n">
        <v>0.003</v>
      </c>
      <c r="C5" s="127" t="n">
        <f aca="false">$C$2*B5</f>
        <v>4732471.25820394</v>
      </c>
      <c r="D5" s="0"/>
      <c r="F5" s="103" t="s">
        <v>41</v>
      </c>
      <c r="G5" s="97" t="n">
        <v>72346.8939322404</v>
      </c>
      <c r="H5" s="1" t="n">
        <v>47977</v>
      </c>
      <c r="I5" s="127" t="n">
        <f aca="false">G5/H5-1</f>
        <v>0.507949516064788</v>
      </c>
    </row>
    <row r="6" customFormat="false" ht="15" hidden="false" customHeight="true" outlineLevel="0" collapsed="false">
      <c r="A6" s="172" t="s">
        <v>95</v>
      </c>
      <c r="B6" s="172" t="n">
        <v>0.054</v>
      </c>
      <c r="C6" s="127" t="n">
        <f aca="false">$C$2*B6</f>
        <v>85184482.6476709</v>
      </c>
      <c r="D6" s="0"/>
      <c r="F6" s="96" t="s">
        <v>42</v>
      </c>
      <c r="G6" s="97" t="n">
        <v>42913.8728813559</v>
      </c>
      <c r="H6" s="1" t="n">
        <v>27455</v>
      </c>
      <c r="I6" s="127" t="n">
        <f aca="false">G6/H6-1</f>
        <v>0.563062206569147</v>
      </c>
    </row>
    <row r="7" customFormat="false" ht="15" hidden="false" customHeight="true" outlineLevel="0" collapsed="false">
      <c r="A7" s="172" t="s">
        <v>96</v>
      </c>
      <c r="B7" s="172" t="n">
        <v>0.005</v>
      </c>
      <c r="C7" s="127" t="n">
        <f aca="false">$C$2*B7</f>
        <v>7887452.09700656</v>
      </c>
      <c r="D7" s="0"/>
      <c r="F7" s="96" t="s">
        <v>43</v>
      </c>
      <c r="G7" s="97" t="n">
        <v>71714.2112960161</v>
      </c>
      <c r="H7" s="1" t="n">
        <v>46885</v>
      </c>
      <c r="I7" s="127" t="n">
        <f aca="false">G7/H7-1</f>
        <v>0.5295768645839</v>
      </c>
    </row>
    <row r="8" customFormat="false" ht="15" hidden="false" customHeight="true" outlineLevel="0" collapsed="false">
      <c r="A8" s="172" t="s">
        <v>97</v>
      </c>
      <c r="B8" s="172" t="n">
        <v>0.097</v>
      </c>
      <c r="C8" s="127" t="n">
        <f aca="false">$C$2*B8</f>
        <v>153016570.681927</v>
      </c>
      <c r="D8" s="0"/>
      <c r="F8" s="96" t="s">
        <v>44</v>
      </c>
      <c r="G8" s="97" t="n">
        <v>37907.430609106</v>
      </c>
      <c r="H8" s="1" t="n">
        <v>23983</v>
      </c>
      <c r="I8" s="127" t="n">
        <f aca="false">G8/H8-1</f>
        <v>0.580595864116501</v>
      </c>
    </row>
    <row r="9" customFormat="false" ht="15" hidden="false" customHeight="true" outlineLevel="0" collapsed="false">
      <c r="A9" s="172" t="s">
        <v>98</v>
      </c>
      <c r="B9" s="172" t="n">
        <v>0.017</v>
      </c>
      <c r="C9" s="127" t="n">
        <f aca="false">$C$2*B9</f>
        <v>26817337.1298223</v>
      </c>
      <c r="D9" s="0"/>
      <c r="F9" s="103" t="s">
        <v>45</v>
      </c>
      <c r="G9" s="97" t="n">
        <v>44828.1415545931</v>
      </c>
      <c r="H9" s="1" t="n">
        <v>28242</v>
      </c>
      <c r="I9" s="127" t="n">
        <f aca="false">G9/H9-1</f>
        <v>0.587286366213197</v>
      </c>
    </row>
    <row r="10" customFormat="false" ht="15" hidden="false" customHeight="true" outlineLevel="0" collapsed="false">
      <c r="B10" s="0"/>
      <c r="C10" s="127" t="n">
        <f aca="false">SUM(C4:C9)</f>
        <v>282844032.198655</v>
      </c>
      <c r="D10" s="0"/>
    </row>
    <row r="11" customFormat="false" ht="15" hidden="false" customHeight="false" outlineLevel="0" collapsed="false">
      <c r="B11" s="0"/>
      <c r="C11" s="0"/>
      <c r="D11" s="0"/>
    </row>
    <row r="12" customFormat="false" ht="15" hidden="false" customHeight="false" outlineLevel="0" collapsed="false">
      <c r="B12" s="0"/>
      <c r="C12" s="0"/>
      <c r="D12" s="0"/>
    </row>
    <row r="13" customFormat="false" ht="15" hidden="false" customHeight="false" outlineLevel="0" collapsed="false">
      <c r="B13" s="0"/>
      <c r="C13" s="0"/>
      <c r="D13" s="0"/>
    </row>
    <row r="14" customFormat="false" ht="15" hidden="false" customHeight="true" outlineLevel="0" collapsed="false">
      <c r="B14" s="1" t="n">
        <v>2031.1</v>
      </c>
      <c r="C14" s="0"/>
      <c r="D14" s="0"/>
    </row>
    <row r="15" customFormat="false" ht="15" hidden="false" customHeight="true" outlineLevel="0" collapsed="false">
      <c r="B15" s="1" t="n">
        <v>3630.7</v>
      </c>
      <c r="C15" s="0"/>
      <c r="D15" s="1" t="n">
        <f aca="false">3170*0.128</f>
        <v>405.76</v>
      </c>
    </row>
    <row r="16" customFormat="false" ht="15" hidden="false" customHeight="true" outlineLevel="0" collapsed="false">
      <c r="B16" s="1" t="n">
        <f aca="false">SUM(B14:B15)</f>
        <v>5661.8</v>
      </c>
      <c r="C16" s="0"/>
      <c r="D16" s="0"/>
    </row>
    <row r="17" customFormat="false" ht="15" hidden="false" customHeight="true" outlineLevel="0" collapsed="false">
      <c r="B17" s="0"/>
      <c r="C17" s="0"/>
      <c r="D17" s="1" t="n">
        <f aca="false">336.4/0.128</f>
        <v>2628.125</v>
      </c>
    </row>
    <row r="18" customFormat="false" ht="15" hidden="false" customHeight="true" outlineLevel="0" collapsed="false">
      <c r="B18" s="1" t="n">
        <v>3176.59</v>
      </c>
      <c r="C18" s="0"/>
      <c r="D18" s="1" t="n">
        <f aca="false">3468.08-330.85-86.83-184.51-18.09</f>
        <v>2847.8</v>
      </c>
    </row>
    <row r="19" customFormat="false" ht="15" hidden="false" customHeight="true" outlineLevel="0" collapsed="false">
      <c r="B19" s="1" t="n">
        <v>2272.4</v>
      </c>
      <c r="C19" s="0"/>
    </row>
    <row r="20" customFormat="false" ht="15" hidden="false" customHeight="true" outlineLevel="0" collapsed="false">
      <c r="B20" s="1" t="n">
        <f aca="false">SUM(B18:B19)</f>
        <v>5448.99</v>
      </c>
      <c r="C20" s="0"/>
    </row>
    <row r="21" customFormat="false" ht="15" hidden="false" customHeight="false" outlineLevel="0" collapsed="false">
      <c r="B21" s="0"/>
      <c r="C21" s="0"/>
    </row>
    <row r="22" customFormat="false" ht="15" hidden="false" customHeight="true" outlineLevel="0" collapsed="false">
      <c r="B22" s="1" t="n">
        <f aca="false">1688.5/0.6214</f>
        <v>2717.25136787898</v>
      </c>
      <c r="C22" s="0"/>
    </row>
    <row r="23" customFormat="false" ht="15" hidden="false" customHeight="true" outlineLevel="0" collapsed="false">
      <c r="B23" s="1" t="n">
        <f aca="false">B18-B22</f>
        <v>459.338632121017</v>
      </c>
      <c r="C23" s="0"/>
    </row>
    <row r="24" customFormat="false" ht="15" hidden="false" customHeight="false" outlineLevel="0" collapsed="false">
      <c r="B24" s="0"/>
      <c r="C24" s="0"/>
    </row>
    <row r="25" customFormat="false" ht="15" hidden="false" customHeight="true" outlineLevel="0" collapsed="false">
      <c r="B25" s="1" t="n">
        <v>1688.5</v>
      </c>
      <c r="C25" s="1" t="n">
        <f aca="false">B25/B3</f>
        <v>2717.25136787898</v>
      </c>
    </row>
    <row r="26" customFormat="false" ht="15" hidden="false" customHeight="true" outlineLevel="0" collapsed="false">
      <c r="C26" s="1" t="n">
        <v>1242.5</v>
      </c>
    </row>
    <row r="27" customFormat="false" ht="15" hidden="false" customHeight="true" outlineLevel="0" collapsed="false">
      <c r="C27" s="1" t="n">
        <v>1106.2</v>
      </c>
    </row>
    <row r="28" customFormat="false" ht="15" hidden="false" customHeight="true" outlineLevel="0" collapsed="false">
      <c r="C28" s="1" t="n">
        <v>348</v>
      </c>
    </row>
    <row r="29" customFormat="false" ht="15" hidden="false" customHeight="true" outlineLevel="0" collapsed="false">
      <c r="C29" s="1" t="n">
        <v>158</v>
      </c>
    </row>
    <row r="30" customFormat="false" ht="15" hidden="false" customHeight="true" outlineLevel="0" collapsed="false">
      <c r="C30" s="1" t="n">
        <v>485.7</v>
      </c>
    </row>
    <row r="31" customFormat="false" ht="15" hidden="false" customHeight="true" outlineLevel="0" collapsed="false">
      <c r="C31" s="1" t="n">
        <v>211.4</v>
      </c>
    </row>
    <row r="32" customFormat="false" ht="15" hidden="false" customHeight="true" outlineLevel="0" collapsed="false">
      <c r="C32" s="1" t="n">
        <v>291.4</v>
      </c>
    </row>
    <row r="33" customFormat="false" ht="15" hidden="false" customHeight="true" outlineLevel="0" collapsed="false">
      <c r="C33" s="1" t="n">
        <v>8</v>
      </c>
    </row>
    <row r="34" customFormat="false" ht="15" hidden="false" customHeight="true" outlineLevel="0" collapsed="false">
      <c r="C34" s="1" t="n">
        <v>72.1</v>
      </c>
    </row>
    <row r="35" customFormat="false" ht="15" hidden="false" customHeight="true" outlineLevel="0" collapsed="false">
      <c r="C35" s="1" t="n">
        <v>514.8</v>
      </c>
    </row>
    <row r="36" customFormat="false" ht="15" hidden="false" customHeight="true" outlineLevel="0" collapsed="false">
      <c r="C36" s="1" t="n">
        <v>658.6</v>
      </c>
    </row>
    <row r="37" customFormat="false" ht="15" hidden="false" customHeight="true" outlineLevel="0" collapsed="false">
      <c r="C37" s="1" t="n">
        <v>211.23</v>
      </c>
    </row>
    <row r="38" customFormat="false" ht="15" hidden="false" customHeight="true" outlineLevel="0" collapsed="false">
      <c r="C38" s="1" t="n">
        <v>493.3</v>
      </c>
    </row>
    <row r="39" customFormat="false" ht="15" hidden="false" customHeight="true" outlineLevel="0" collapsed="false">
      <c r="C39" s="1" t="n">
        <f aca="false">SUM(C26:C38)</f>
        <v>5801.23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2015-05-01T10:29:21Z</dcterms:created>
  <dc:language>fr-FR</dc:language>
  <dcterms:modified xsi:type="dcterms:W3CDTF">2016-10-02T23:40:41Z</dcterms:modified>
  <cp:revision>8</cp:revision>
</cp:coreProperties>
</file>