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00" windowWidth="18620" windowHeight="7770" activeTab="0"/>
  </bookViews>
  <sheets>
    <sheet name="BP 2020" sheetId="1" r:id="rId1"/>
  </sheets>
  <definedNames/>
  <calcPr fullCalcOnLoad="1"/>
</workbook>
</file>

<file path=xl/sharedStrings.xml><?xml version="1.0" encoding="utf-8"?>
<sst xmlns="http://schemas.openxmlformats.org/spreadsheetml/2006/main" count="1099" uniqueCount="256">
  <si>
    <t>D</t>
  </si>
  <si>
    <t>Solde d'exécution sect° d'investissement</t>
  </si>
  <si>
    <t>R</t>
  </si>
  <si>
    <t>Résultat de fonctionnement reporté</t>
  </si>
  <si>
    <t>Eau et assainissement</t>
  </si>
  <si>
    <t>Electricité Bâtiments</t>
  </si>
  <si>
    <t>Gaz</t>
  </si>
  <si>
    <t>Combustibles</t>
  </si>
  <si>
    <t>Carburants</t>
  </si>
  <si>
    <t>Alimentation</t>
  </si>
  <si>
    <t>Produits de traitement</t>
  </si>
  <si>
    <t>Autres fournitures non stockées</t>
  </si>
  <si>
    <t>Fournitures d'entretien</t>
  </si>
  <si>
    <t>Fournitures de petit équipement</t>
  </si>
  <si>
    <t>Fournitures de voirie</t>
  </si>
  <si>
    <t>Vêtements de travail</t>
  </si>
  <si>
    <t>Fournitures administratives</t>
  </si>
  <si>
    <t>Livres, disques, ... (médiathèque)</t>
  </si>
  <si>
    <t>Fournitures scolaires</t>
  </si>
  <si>
    <t>Autres matières et fournitures</t>
  </si>
  <si>
    <t>Contrats de prestations de services</t>
  </si>
  <si>
    <t>Locations immobilières</t>
  </si>
  <si>
    <t>Locations mobilières</t>
  </si>
  <si>
    <t>Entretien terrains</t>
  </si>
  <si>
    <t>Entretien, réparations bâtiments publics</t>
  </si>
  <si>
    <t>Entretien, réparations autres bâtiments</t>
  </si>
  <si>
    <t>Entretien, réparations voiries</t>
  </si>
  <si>
    <t>Entretien, réparations réseaux</t>
  </si>
  <si>
    <t>Entretien matériel roulant</t>
  </si>
  <si>
    <t>Entretien autres biens mobiliers</t>
  </si>
  <si>
    <t>Maintenance</t>
  </si>
  <si>
    <t>Multirisques</t>
  </si>
  <si>
    <t>Autres primes d'assurance</t>
  </si>
  <si>
    <t>Etudes et recherches</t>
  </si>
  <si>
    <t>Documentation générale et technique</t>
  </si>
  <si>
    <t>Versements à des organismes de formation</t>
  </si>
  <si>
    <t>Frais de colloques et de séminaires</t>
  </si>
  <si>
    <t>Autres frais divers</t>
  </si>
  <si>
    <t>Indemnités aux comptable et régisseurs</t>
  </si>
  <si>
    <t>Honoraires</t>
  </si>
  <si>
    <t>Frais d'actes et de contentieux</t>
  </si>
  <si>
    <t>Divers</t>
  </si>
  <si>
    <t>Annonces et insertions</t>
  </si>
  <si>
    <t>Fêtes et cérémonies</t>
  </si>
  <si>
    <t>Publications</t>
  </si>
  <si>
    <t>Transports de biens</t>
  </si>
  <si>
    <t>Transports collectifs</t>
  </si>
  <si>
    <t>Voyages et déplacements</t>
  </si>
  <si>
    <t>Missions</t>
  </si>
  <si>
    <t>Réceptions</t>
  </si>
  <si>
    <t>Frais d'affranchissement</t>
  </si>
  <si>
    <t>Frais de télécommunications</t>
  </si>
  <si>
    <t>Services bancaires et assimilés</t>
  </si>
  <si>
    <t>Concours divers (cotisations)</t>
  </si>
  <si>
    <t>Frais de gardiennage (églises, forêts, .</t>
  </si>
  <si>
    <t>Frais de nettoyage des locaux</t>
  </si>
  <si>
    <t>Redevances pour services rendus</t>
  </si>
  <si>
    <t>Remb. frais à la collectivité de rattach</t>
  </si>
  <si>
    <t>Remb. frais à un GFP de rattachement</t>
  </si>
  <si>
    <t>Autres services extérieurs</t>
  </si>
  <si>
    <t>Taxes foncières</t>
  </si>
  <si>
    <t>Taxes et impôts sur les véhicules</t>
  </si>
  <si>
    <t>Autres droits</t>
  </si>
  <si>
    <t>Autre personnel extérieur</t>
  </si>
  <si>
    <t>Versement de transport</t>
  </si>
  <si>
    <t>Cotisations versées au F.N.A.L.</t>
  </si>
  <si>
    <t>Cotisations CNFPT et CDGFPT</t>
  </si>
  <si>
    <t>Rémunération principale titulaires</t>
  </si>
  <si>
    <t>NBI, SFT, indemnité résidence</t>
  </si>
  <si>
    <t>Autres indemnités titulaires</t>
  </si>
  <si>
    <t>Rémunérations non tit.</t>
  </si>
  <si>
    <t>Autres indemnités non tit.</t>
  </si>
  <si>
    <t>Rémunérations des apprentis</t>
  </si>
  <si>
    <t>Cotisations à l'U.R.S.S.A.F.</t>
  </si>
  <si>
    <t>Cotisations aux caisses de retraites</t>
  </si>
  <si>
    <t>Cotisations aux A.S.S.E.D.I.C.</t>
  </si>
  <si>
    <t>Cotisations pour assurance du personnel</t>
  </si>
  <si>
    <t>Versement au F.N.C. supplément familial</t>
  </si>
  <si>
    <t>Cotis. aux autres organismes sociaux</t>
  </si>
  <si>
    <t>Médecine du travail, pharmacie</t>
  </si>
  <si>
    <t>Autres charges sociales diverses</t>
  </si>
  <si>
    <t>Autres charges</t>
  </si>
  <si>
    <t>Remboursements rémunérations personnel</t>
  </si>
  <si>
    <t>Rembourst charges SS et prévoyance</t>
  </si>
  <si>
    <t>Rembourst sur autres charges sociales</t>
  </si>
  <si>
    <t>Dégrèvement taxe FNB jeunes agriculteurs</t>
  </si>
  <si>
    <t>Fonds péréquation ress. com. et intercom</t>
  </si>
  <si>
    <t>Virement de la section de fonctionnement</t>
  </si>
  <si>
    <t>Dépenses imprévues</t>
  </si>
  <si>
    <t>Virement à la section d'investissement</t>
  </si>
  <si>
    <t>Produits des cessions d'immobilisations</t>
  </si>
  <si>
    <t>Etat et établissements nationaux</t>
  </si>
  <si>
    <t>Sub. transf cpte résult. Départements</t>
  </si>
  <si>
    <t>Sub. transf cpte résult. GFP de rattach.</t>
  </si>
  <si>
    <t>Sub. transf cpte résult. Autres groupts</t>
  </si>
  <si>
    <t>Autres subventions d'équipement</t>
  </si>
  <si>
    <t>Autres bâtiments publics</t>
  </si>
  <si>
    <t>Frais d'études</t>
  </si>
  <si>
    <t>Frais d'insertion</t>
  </si>
  <si>
    <t>GFP rat : Bien mobilier, matériel</t>
  </si>
  <si>
    <t>GFP rat : Bâtiments, installations</t>
  </si>
  <si>
    <t>GFP : Bâtiments, installations</t>
  </si>
  <si>
    <t>Autres org pub - Bâtiments et installat°</t>
  </si>
  <si>
    <t>Privé : Bâtiments, installations</t>
  </si>
  <si>
    <t>Concessions et droits similaires</t>
  </si>
  <si>
    <t>Plantations d'arbres et d'arbustes</t>
  </si>
  <si>
    <t>Autres aménagements de terrains</t>
  </si>
  <si>
    <t>Equipements de cimetière</t>
  </si>
  <si>
    <t>Installations générales, agencements, ..</t>
  </si>
  <si>
    <t>Réseaux de voirie</t>
  </si>
  <si>
    <t>Installations de voirie</t>
  </si>
  <si>
    <t>Réseaux d'adduction d'eau</t>
  </si>
  <si>
    <t>Réseaux d'assainissement</t>
  </si>
  <si>
    <t>Réseaux câblés</t>
  </si>
  <si>
    <t>Autres réseaux</t>
  </si>
  <si>
    <t>Autres matériels, outillages incendie</t>
  </si>
  <si>
    <t>Autre matériel et outillage de voirie</t>
  </si>
  <si>
    <t>Autres installat°, matériel et outillage</t>
  </si>
  <si>
    <t>Matériel de transport</t>
  </si>
  <si>
    <t>Matériel de bureau et informatique</t>
  </si>
  <si>
    <t>Mobilier</t>
  </si>
  <si>
    <t>Autres immo. corporelles</t>
  </si>
  <si>
    <t>Bâtiments scolaires</t>
  </si>
  <si>
    <t>Autres immobilisations corporelles</t>
  </si>
  <si>
    <t>Autres immo. corporelles en cours</t>
  </si>
  <si>
    <t>Avances versées commandes immo. incorp.</t>
  </si>
  <si>
    <t>Dot. amort. et prov. Immos incorporelles</t>
  </si>
  <si>
    <t>Immobilisations corporelles</t>
  </si>
  <si>
    <t>Quote-part subv invest transf cpte résul</t>
  </si>
  <si>
    <t>FCTVA</t>
  </si>
  <si>
    <t>Taxe d'aménagement</t>
  </si>
  <si>
    <t>Excédents de fonctionnement capitalisés</t>
  </si>
  <si>
    <t>Subv. non transf. Etat, établ. nationaux</t>
  </si>
  <si>
    <t>Subv. non transf. GFP de rattachement</t>
  </si>
  <si>
    <t>D.E.T.R. non transférable</t>
  </si>
  <si>
    <t>Emprunts en euros</t>
  </si>
  <si>
    <t>Emprunts - Autres prêteurs</t>
  </si>
  <si>
    <t>Concessions, droits similaires</t>
  </si>
  <si>
    <t>Autres grpts - Bâtiments et installat°</t>
  </si>
  <si>
    <t>Autres EPL : Bâtiments, installations</t>
  </si>
  <si>
    <t>Terrains nus</t>
  </si>
  <si>
    <t>Terrains de voirie</t>
  </si>
  <si>
    <t>Autres agencements et aménagements</t>
  </si>
  <si>
    <t>Hôtel de ville</t>
  </si>
  <si>
    <t>Equipements du cimetière</t>
  </si>
  <si>
    <t>Installations générales, agencements</t>
  </si>
  <si>
    <t>Autres constructions</t>
  </si>
  <si>
    <t>Réseaux d'électrification</t>
  </si>
  <si>
    <t>Autres inst.,matériel,outil. techniques</t>
  </si>
  <si>
    <t>Constructions</t>
  </si>
  <si>
    <t>Installat°, matériel et outillage techni</t>
  </si>
  <si>
    <t>Créance C.C.A.S. et caisse des écoles</t>
  </si>
  <si>
    <t>Mandat AA Rue de la mairie Pluvial</t>
  </si>
  <si>
    <t>Mandat AA Rue de la mairie Eclairage public</t>
  </si>
  <si>
    <t>Mandat AA Rue de la mairie Ord. ménagères</t>
  </si>
  <si>
    <t>Redevances pour licences, logiciels, ...</t>
  </si>
  <si>
    <t>Indemnités</t>
  </si>
  <si>
    <t>Frais de mission</t>
  </si>
  <si>
    <t>Cotisations de retraite</t>
  </si>
  <si>
    <t>Cotis. de sécurité sociale - part patron</t>
  </si>
  <si>
    <t>Formation</t>
  </si>
  <si>
    <t>Créances admises en non-valeur</t>
  </si>
  <si>
    <t>Créances éteintes</t>
  </si>
  <si>
    <t>Autres contributions</t>
  </si>
  <si>
    <t>Autres contributions obligatoires</t>
  </si>
  <si>
    <t>Subv. fonct. CCAS</t>
  </si>
  <si>
    <t>Subv. fonct. Associat°, personnes privée</t>
  </si>
  <si>
    <t>Autres</t>
  </si>
  <si>
    <t>Intérêts réglés à l'échéance</t>
  </si>
  <si>
    <t>Intérêts - Rattachement des ICNE</t>
  </si>
  <si>
    <t>Bourses et prix</t>
  </si>
  <si>
    <t>Titres annulés (sur exercices antérieurs</t>
  </si>
  <si>
    <t>Autres charges exceptionnelles</t>
  </si>
  <si>
    <t>Dot. prov. dépréc. actifs circulants</t>
  </si>
  <si>
    <t>Concessions cimetières (produit net)</t>
  </si>
  <si>
    <t>Redev. occupat° domaine public communal</t>
  </si>
  <si>
    <t>Redevances services à caractère culturel</t>
  </si>
  <si>
    <t>Redevances services à caractère loisir</t>
  </si>
  <si>
    <t>Redev. services périscolaires et enseign</t>
  </si>
  <si>
    <t>Locations diverses (autres qu'immeubles)</t>
  </si>
  <si>
    <t>Mise à dispo personnel autres organismes</t>
  </si>
  <si>
    <t>Remb. frais par les C.C.A.S.</t>
  </si>
  <si>
    <t>Remb. frais par d'autres redevables</t>
  </si>
  <si>
    <t>Produits activités annexes (abonnements)</t>
  </si>
  <si>
    <t>Taxes foncières et d'habitation</t>
  </si>
  <si>
    <t>Attribution de compensation</t>
  </si>
  <si>
    <t>Dotation de solidarité communautaire</t>
  </si>
  <si>
    <t>FNGIR</t>
  </si>
  <si>
    <t>Autres taxes</t>
  </si>
  <si>
    <t>Taxes locales sur la publicité extérieur</t>
  </si>
  <si>
    <t>Taxes additionnelles droits de mutation</t>
  </si>
  <si>
    <t>Dotation forfaitaire</t>
  </si>
  <si>
    <t>Dotation de solidarité rurale</t>
  </si>
  <si>
    <t>Autres participations Etat</t>
  </si>
  <si>
    <t>Participat° Régions</t>
  </si>
  <si>
    <t>Participat° Départements</t>
  </si>
  <si>
    <t>Participat° GFP de rattachement</t>
  </si>
  <si>
    <t>Participat° Autres organismes</t>
  </si>
  <si>
    <t>Etat - Compens. exonérat° taxes foncière</t>
  </si>
  <si>
    <t>Etat - Compens. exonérat° taxe habitat°</t>
  </si>
  <si>
    <t>Dotation pour les titres sécurisés</t>
  </si>
  <si>
    <t>Revenus des immeubles</t>
  </si>
  <si>
    <t>Autres produits div. de gestion courante</t>
  </si>
  <si>
    <t>Produits de participations</t>
  </si>
  <si>
    <t>Autres produits except. opérat° gestion</t>
  </si>
  <si>
    <t>Mandats annulés (exercices antérieurs)</t>
  </si>
  <si>
    <t>Produits exceptionnels divers</t>
  </si>
  <si>
    <t>Type mouvement</t>
  </si>
  <si>
    <t>Sens</t>
  </si>
  <si>
    <t>Section</t>
  </si>
  <si>
    <t>Chapitre</t>
  </si>
  <si>
    <t>Nature</t>
  </si>
  <si>
    <t>Libellé</t>
  </si>
  <si>
    <t xml:space="preserve">R </t>
  </si>
  <si>
    <t xml:space="preserve">O </t>
  </si>
  <si>
    <t>F</t>
  </si>
  <si>
    <t>I</t>
  </si>
  <si>
    <t>011</t>
  </si>
  <si>
    <t>Charges à caractère général</t>
  </si>
  <si>
    <t>012</t>
  </si>
  <si>
    <t>Charges de personnel</t>
  </si>
  <si>
    <t>014</t>
  </si>
  <si>
    <t>Atténuation de produits</t>
  </si>
  <si>
    <t>022</t>
  </si>
  <si>
    <t>023</t>
  </si>
  <si>
    <t>042</t>
  </si>
  <si>
    <t>Opérations Ordre de transfert entre sections</t>
  </si>
  <si>
    <t>Autres charges de gestion courante</t>
  </si>
  <si>
    <t>Charges financières</t>
  </si>
  <si>
    <t>Charges exceptionnelles</t>
  </si>
  <si>
    <t>002</t>
  </si>
  <si>
    <t>Solde d'exé. reporté</t>
  </si>
  <si>
    <t>Dotations aux provisions (semi-budgétaires)</t>
  </si>
  <si>
    <t>013</t>
  </si>
  <si>
    <t>Atténuation de charges</t>
  </si>
  <si>
    <t>Produits services, domaines et ventes diverses</t>
  </si>
  <si>
    <t>Impôts et taxes</t>
  </si>
  <si>
    <t>Dotations et participations</t>
  </si>
  <si>
    <t>Autres produits de gestion courante</t>
  </si>
  <si>
    <t>Produits financiers</t>
  </si>
  <si>
    <t xml:space="preserve">Produits exceptionnels  </t>
  </si>
  <si>
    <t>001</t>
  </si>
  <si>
    <t>040</t>
  </si>
  <si>
    <t>041</t>
  </si>
  <si>
    <t>Opérations patrimoniales</t>
  </si>
  <si>
    <t>Emprunts et dettes assimilés</t>
  </si>
  <si>
    <t>Immobilisations incorporelles (sauf 204)</t>
  </si>
  <si>
    <t>TOTAL BUDGET                      (BP + RAR)</t>
  </si>
  <si>
    <t>Subventions d'équipement versées</t>
  </si>
  <si>
    <t>Immobilisations en cours</t>
  </si>
  <si>
    <t>Opérations pour compte de tiers</t>
  </si>
  <si>
    <t>021</t>
  </si>
  <si>
    <t>024</t>
  </si>
  <si>
    <t>Dotations, fonds divers et réserves</t>
  </si>
  <si>
    <t>Subventions d'investissement</t>
  </si>
  <si>
    <t>Autres immobilisations financières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</si>
</sst>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6" max="6" width="39.8515625" style="0" customWidth="1"/>
    <col min="7" max="7" width="13.140625" style="0" customWidth="1"/>
    <col min="8" max="8" width="11.140625" style="0" bestFit="1" customWidth="1"/>
  </cols>
  <sheetData>
    <row r="1" spans="1:7" s="1" customFormat="1" ht="45" customHeight="1">
      <c r="A1" s="1" t="s">
        <v>207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212</v>
      </c>
      <c r="G1" s="1" t="s">
        <v>247</v>
      </c>
    </row>
    <row r="2" spans="1:7" s="3" customFormat="1" ht="14.25">
      <c r="A2" s="3" t="s">
        <v>213</v>
      </c>
      <c r="B2" s="3" t="s">
        <v>0</v>
      </c>
      <c r="C2" s="3" t="s">
        <v>215</v>
      </c>
      <c r="D2" s="4" t="s">
        <v>217</v>
      </c>
      <c r="F2" s="3" t="s">
        <v>218</v>
      </c>
      <c r="G2" s="5">
        <f>SUM(G3:G63)</f>
        <v>1691300</v>
      </c>
    </row>
    <row r="3" spans="1:7" ht="14.25">
      <c r="A3" t="s">
        <v>213</v>
      </c>
      <c r="B3" t="s">
        <v>0</v>
      </c>
      <c r="C3" t="s">
        <v>215</v>
      </c>
      <c r="D3" t="str">
        <f aca="true" t="shared" si="0" ref="D3:D34">"011"</f>
        <v>011</v>
      </c>
      <c r="E3" t="str">
        <f>"60611"</f>
        <v>60611</v>
      </c>
      <c r="F3" t="s">
        <v>4</v>
      </c>
      <c r="G3" s="2">
        <v>23900</v>
      </c>
    </row>
    <row r="4" spans="1:7" ht="14.25">
      <c r="A4" t="s">
        <v>213</v>
      </c>
      <c r="B4" t="s">
        <v>0</v>
      </c>
      <c r="C4" t="s">
        <v>215</v>
      </c>
      <c r="D4" t="str">
        <f t="shared" si="0"/>
        <v>011</v>
      </c>
      <c r="E4" t="str">
        <f>"606121"</f>
        <v>606121</v>
      </c>
      <c r="F4" t="s">
        <v>5</v>
      </c>
      <c r="G4" s="7">
        <v>109500</v>
      </c>
    </row>
    <row r="5" spans="1:8" ht="14.25">
      <c r="A5" t="s">
        <v>213</v>
      </c>
      <c r="B5" t="s">
        <v>0</v>
      </c>
      <c r="C5" t="s">
        <v>215</v>
      </c>
      <c r="D5" t="str">
        <f t="shared" si="0"/>
        <v>011</v>
      </c>
      <c r="E5" t="str">
        <f>"606124"</f>
        <v>606124</v>
      </c>
      <c r="F5" t="s">
        <v>6</v>
      </c>
      <c r="G5" s="7">
        <v>75000</v>
      </c>
      <c r="H5" s="2"/>
    </row>
    <row r="6" spans="1:7" ht="14.25">
      <c r="A6" t="s">
        <v>213</v>
      </c>
      <c r="B6" t="s">
        <v>0</v>
      </c>
      <c r="C6" t="s">
        <v>215</v>
      </c>
      <c r="D6" t="str">
        <f t="shared" si="0"/>
        <v>011</v>
      </c>
      <c r="E6" t="str">
        <f>"60621"</f>
        <v>60621</v>
      </c>
      <c r="F6" t="s">
        <v>7</v>
      </c>
      <c r="G6" s="2">
        <v>6100</v>
      </c>
    </row>
    <row r="7" spans="1:7" ht="14.25">
      <c r="A7" t="s">
        <v>213</v>
      </c>
      <c r="B7" t="s">
        <v>0</v>
      </c>
      <c r="C7" t="s">
        <v>215</v>
      </c>
      <c r="D7" t="str">
        <f t="shared" si="0"/>
        <v>011</v>
      </c>
      <c r="E7" t="str">
        <f>"60622"</f>
        <v>60622</v>
      </c>
      <c r="F7" t="s">
        <v>8</v>
      </c>
      <c r="G7" s="2">
        <v>29000</v>
      </c>
    </row>
    <row r="8" spans="1:7" ht="14.25">
      <c r="A8" t="s">
        <v>213</v>
      </c>
      <c r="B8" t="s">
        <v>0</v>
      </c>
      <c r="C8" t="s">
        <v>215</v>
      </c>
      <c r="D8" t="str">
        <f t="shared" si="0"/>
        <v>011</v>
      </c>
      <c r="E8" t="str">
        <f>"60623"</f>
        <v>60623</v>
      </c>
      <c r="F8" t="s">
        <v>9</v>
      </c>
      <c r="G8" s="2">
        <v>103700</v>
      </c>
    </row>
    <row r="9" spans="1:7" ht="14.25">
      <c r="A9" t="s">
        <v>213</v>
      </c>
      <c r="B9" t="s">
        <v>0</v>
      </c>
      <c r="C9" t="s">
        <v>215</v>
      </c>
      <c r="D9" t="str">
        <f t="shared" si="0"/>
        <v>011</v>
      </c>
      <c r="E9" t="str">
        <f>"60624"</f>
        <v>60624</v>
      </c>
      <c r="F9" t="s">
        <v>10</v>
      </c>
      <c r="G9" s="2">
        <v>16400</v>
      </c>
    </row>
    <row r="10" spans="1:7" ht="14.25">
      <c r="A10" t="s">
        <v>213</v>
      </c>
      <c r="B10" t="s">
        <v>0</v>
      </c>
      <c r="C10" t="s">
        <v>215</v>
      </c>
      <c r="D10" t="str">
        <f t="shared" si="0"/>
        <v>011</v>
      </c>
      <c r="E10" t="str">
        <f>"60628"</f>
        <v>60628</v>
      </c>
      <c r="F10" t="s">
        <v>11</v>
      </c>
      <c r="G10" s="2">
        <v>16400</v>
      </c>
    </row>
    <row r="11" spans="1:7" ht="14.25">
      <c r="A11" t="s">
        <v>213</v>
      </c>
      <c r="B11" t="s">
        <v>0</v>
      </c>
      <c r="C11" t="s">
        <v>215</v>
      </c>
      <c r="D11" t="str">
        <f t="shared" si="0"/>
        <v>011</v>
      </c>
      <c r="E11" t="str">
        <f>"60631"</f>
        <v>60631</v>
      </c>
      <c r="F11" t="s">
        <v>12</v>
      </c>
      <c r="G11" s="2">
        <v>18100</v>
      </c>
    </row>
    <row r="12" spans="1:7" ht="14.25">
      <c r="A12" t="s">
        <v>213</v>
      </c>
      <c r="B12" t="s">
        <v>0</v>
      </c>
      <c r="C12" t="s">
        <v>215</v>
      </c>
      <c r="D12" t="str">
        <f t="shared" si="0"/>
        <v>011</v>
      </c>
      <c r="E12" t="str">
        <f>"60632"</f>
        <v>60632</v>
      </c>
      <c r="F12" t="s">
        <v>13</v>
      </c>
      <c r="G12" s="2">
        <v>43500</v>
      </c>
    </row>
    <row r="13" spans="1:7" ht="14.25">
      <c r="A13" t="s">
        <v>213</v>
      </c>
      <c r="B13" t="s">
        <v>0</v>
      </c>
      <c r="C13" t="s">
        <v>215</v>
      </c>
      <c r="D13" t="str">
        <f t="shared" si="0"/>
        <v>011</v>
      </c>
      <c r="E13" t="str">
        <f>"60633"</f>
        <v>60633</v>
      </c>
      <c r="F13" t="s">
        <v>14</v>
      </c>
      <c r="G13" s="2">
        <v>11500</v>
      </c>
    </row>
    <row r="14" spans="1:7" ht="14.25">
      <c r="A14" t="s">
        <v>213</v>
      </c>
      <c r="B14" t="s">
        <v>0</v>
      </c>
      <c r="C14" t="s">
        <v>215</v>
      </c>
      <c r="D14" t="str">
        <f t="shared" si="0"/>
        <v>011</v>
      </c>
      <c r="E14" t="str">
        <f>"60636"</f>
        <v>60636</v>
      </c>
      <c r="F14" t="s">
        <v>15</v>
      </c>
      <c r="G14" s="2">
        <v>14500</v>
      </c>
    </row>
    <row r="15" spans="1:7" ht="14.25">
      <c r="A15" t="s">
        <v>213</v>
      </c>
      <c r="B15" t="s">
        <v>0</v>
      </c>
      <c r="C15" t="s">
        <v>215</v>
      </c>
      <c r="D15" t="str">
        <f t="shared" si="0"/>
        <v>011</v>
      </c>
      <c r="E15" t="str">
        <f>"6064"</f>
        <v>6064</v>
      </c>
      <c r="F15" t="s">
        <v>16</v>
      </c>
      <c r="G15" s="2">
        <v>7900</v>
      </c>
    </row>
    <row r="16" spans="1:7" ht="14.25">
      <c r="A16" t="s">
        <v>213</v>
      </c>
      <c r="B16" t="s">
        <v>0</v>
      </c>
      <c r="C16" t="s">
        <v>215</v>
      </c>
      <c r="D16" t="str">
        <f t="shared" si="0"/>
        <v>011</v>
      </c>
      <c r="E16" t="str">
        <f>"6065"</f>
        <v>6065</v>
      </c>
      <c r="F16" t="s">
        <v>17</v>
      </c>
      <c r="G16" s="2">
        <v>12400</v>
      </c>
    </row>
    <row r="17" spans="1:7" ht="14.25">
      <c r="A17" t="s">
        <v>213</v>
      </c>
      <c r="B17" t="s">
        <v>0</v>
      </c>
      <c r="C17" t="s">
        <v>215</v>
      </c>
      <c r="D17" t="str">
        <f t="shared" si="0"/>
        <v>011</v>
      </c>
      <c r="E17" t="str">
        <f>"6067"</f>
        <v>6067</v>
      </c>
      <c r="F17" t="s">
        <v>18</v>
      </c>
      <c r="G17" s="2">
        <v>23280</v>
      </c>
    </row>
    <row r="18" spans="1:7" ht="14.25">
      <c r="A18" t="s">
        <v>213</v>
      </c>
      <c r="B18" t="s">
        <v>0</v>
      </c>
      <c r="C18" t="s">
        <v>215</v>
      </c>
      <c r="D18" t="str">
        <f t="shared" si="0"/>
        <v>011</v>
      </c>
      <c r="E18" t="str">
        <f>"6068"</f>
        <v>6068</v>
      </c>
      <c r="F18" t="s">
        <v>19</v>
      </c>
      <c r="G18" s="2">
        <v>91500</v>
      </c>
    </row>
    <row r="19" spans="1:7" ht="14.25">
      <c r="A19" t="s">
        <v>213</v>
      </c>
      <c r="B19" t="s">
        <v>0</v>
      </c>
      <c r="C19" t="s">
        <v>215</v>
      </c>
      <c r="D19" t="str">
        <f t="shared" si="0"/>
        <v>011</v>
      </c>
      <c r="E19" t="str">
        <f>"611"</f>
        <v>611</v>
      </c>
      <c r="F19" t="s">
        <v>20</v>
      </c>
      <c r="G19" s="2">
        <v>88355</v>
      </c>
    </row>
    <row r="20" spans="1:7" ht="14.25">
      <c r="A20" t="s">
        <v>213</v>
      </c>
      <c r="B20" t="s">
        <v>0</v>
      </c>
      <c r="C20" t="s">
        <v>215</v>
      </c>
      <c r="D20" t="str">
        <f t="shared" si="0"/>
        <v>011</v>
      </c>
      <c r="E20" t="str">
        <f>"6132"</f>
        <v>6132</v>
      </c>
      <c r="F20" t="s">
        <v>21</v>
      </c>
      <c r="G20" s="2">
        <v>500</v>
      </c>
    </row>
    <row r="21" spans="1:7" ht="14.25">
      <c r="A21" t="s">
        <v>213</v>
      </c>
      <c r="B21" t="s">
        <v>0</v>
      </c>
      <c r="C21" t="s">
        <v>215</v>
      </c>
      <c r="D21" t="str">
        <f t="shared" si="0"/>
        <v>011</v>
      </c>
      <c r="E21" t="str">
        <f>"6135"</f>
        <v>6135</v>
      </c>
      <c r="F21" t="s">
        <v>22</v>
      </c>
      <c r="G21" s="2">
        <v>90680</v>
      </c>
    </row>
    <row r="22" spans="1:7" ht="14.25">
      <c r="A22" t="s">
        <v>213</v>
      </c>
      <c r="B22" t="s">
        <v>0</v>
      </c>
      <c r="C22" t="s">
        <v>215</v>
      </c>
      <c r="D22" t="str">
        <f t="shared" si="0"/>
        <v>011</v>
      </c>
      <c r="E22" t="str">
        <f>"61521"</f>
        <v>61521</v>
      </c>
      <c r="F22" t="s">
        <v>23</v>
      </c>
      <c r="G22" s="2">
        <v>40800</v>
      </c>
    </row>
    <row r="23" spans="1:7" ht="14.25">
      <c r="A23" t="s">
        <v>213</v>
      </c>
      <c r="B23" t="s">
        <v>0</v>
      </c>
      <c r="C23" t="s">
        <v>215</v>
      </c>
      <c r="D23" t="str">
        <f t="shared" si="0"/>
        <v>011</v>
      </c>
      <c r="E23" t="str">
        <f>"615221"</f>
        <v>615221</v>
      </c>
      <c r="F23" t="s">
        <v>24</v>
      </c>
      <c r="G23" s="2">
        <v>54350</v>
      </c>
    </row>
    <row r="24" spans="1:7" ht="14.25">
      <c r="A24" t="s">
        <v>213</v>
      </c>
      <c r="B24" t="s">
        <v>0</v>
      </c>
      <c r="C24" t="s">
        <v>215</v>
      </c>
      <c r="D24" t="str">
        <f t="shared" si="0"/>
        <v>011</v>
      </c>
      <c r="E24" t="str">
        <f>"615228"</f>
        <v>615228</v>
      </c>
      <c r="F24" t="s">
        <v>25</v>
      </c>
      <c r="G24" s="2">
        <v>850</v>
      </c>
    </row>
    <row r="25" spans="1:7" ht="14.25">
      <c r="A25" t="s">
        <v>213</v>
      </c>
      <c r="B25" t="s">
        <v>0</v>
      </c>
      <c r="C25" t="s">
        <v>215</v>
      </c>
      <c r="D25" t="str">
        <f t="shared" si="0"/>
        <v>011</v>
      </c>
      <c r="E25" t="str">
        <f>"615231"</f>
        <v>615231</v>
      </c>
      <c r="F25" t="s">
        <v>26</v>
      </c>
      <c r="G25" s="2">
        <v>133000</v>
      </c>
    </row>
    <row r="26" spans="1:7" ht="14.25">
      <c r="A26" t="s">
        <v>213</v>
      </c>
      <c r="B26" t="s">
        <v>0</v>
      </c>
      <c r="C26" t="s">
        <v>215</v>
      </c>
      <c r="D26" t="str">
        <f t="shared" si="0"/>
        <v>011</v>
      </c>
      <c r="E26" t="str">
        <f>"615232"</f>
        <v>615232</v>
      </c>
      <c r="F26" t="s">
        <v>27</v>
      </c>
      <c r="G26" s="2">
        <v>36000</v>
      </c>
    </row>
    <row r="27" spans="1:7" ht="14.25">
      <c r="A27" t="s">
        <v>213</v>
      </c>
      <c r="B27" t="s">
        <v>0</v>
      </c>
      <c r="C27" t="s">
        <v>215</v>
      </c>
      <c r="D27" t="str">
        <f t="shared" si="0"/>
        <v>011</v>
      </c>
      <c r="E27" t="str">
        <f>"61551"</f>
        <v>61551</v>
      </c>
      <c r="F27" t="s">
        <v>28</v>
      </c>
      <c r="G27" s="2">
        <v>34300</v>
      </c>
    </row>
    <row r="28" spans="1:7" ht="14.25">
      <c r="A28" t="s">
        <v>213</v>
      </c>
      <c r="B28" t="s">
        <v>0</v>
      </c>
      <c r="C28" t="s">
        <v>215</v>
      </c>
      <c r="D28" t="str">
        <f t="shared" si="0"/>
        <v>011</v>
      </c>
      <c r="E28" t="str">
        <f>"61558"</f>
        <v>61558</v>
      </c>
      <c r="F28" t="s">
        <v>29</v>
      </c>
      <c r="G28" s="2">
        <v>26900</v>
      </c>
    </row>
    <row r="29" spans="1:7" ht="14.25">
      <c r="A29" t="s">
        <v>213</v>
      </c>
      <c r="B29" t="s">
        <v>0</v>
      </c>
      <c r="C29" t="s">
        <v>215</v>
      </c>
      <c r="D29" t="str">
        <f t="shared" si="0"/>
        <v>011</v>
      </c>
      <c r="E29" t="str">
        <f>"6156"</f>
        <v>6156</v>
      </c>
      <c r="F29" t="s">
        <v>30</v>
      </c>
      <c r="G29" s="2">
        <v>106580</v>
      </c>
    </row>
    <row r="30" spans="1:7" ht="14.25">
      <c r="A30" t="s">
        <v>213</v>
      </c>
      <c r="B30" t="s">
        <v>0</v>
      </c>
      <c r="C30" t="s">
        <v>215</v>
      </c>
      <c r="D30" t="str">
        <f t="shared" si="0"/>
        <v>011</v>
      </c>
      <c r="E30" t="str">
        <f>"6161"</f>
        <v>6161</v>
      </c>
      <c r="F30" t="s">
        <v>31</v>
      </c>
      <c r="G30" s="2">
        <v>11500</v>
      </c>
    </row>
    <row r="31" spans="1:7" ht="14.25">
      <c r="A31" t="s">
        <v>213</v>
      </c>
      <c r="B31" t="s">
        <v>0</v>
      </c>
      <c r="C31" t="s">
        <v>215</v>
      </c>
      <c r="D31" t="str">
        <f t="shared" si="0"/>
        <v>011</v>
      </c>
      <c r="E31" t="str">
        <f>"6168"</f>
        <v>6168</v>
      </c>
      <c r="F31" t="s">
        <v>32</v>
      </c>
      <c r="G31" s="2">
        <v>20000</v>
      </c>
    </row>
    <row r="32" spans="1:7" ht="14.25">
      <c r="A32" t="s">
        <v>213</v>
      </c>
      <c r="B32" t="s">
        <v>0</v>
      </c>
      <c r="C32" t="s">
        <v>215</v>
      </c>
      <c r="D32" t="str">
        <f t="shared" si="0"/>
        <v>011</v>
      </c>
      <c r="E32" t="str">
        <f>"617"</f>
        <v>617</v>
      </c>
      <c r="F32" t="s">
        <v>33</v>
      </c>
      <c r="G32" s="2">
        <v>600</v>
      </c>
    </row>
    <row r="33" spans="1:7" ht="14.25">
      <c r="A33" t="s">
        <v>213</v>
      </c>
      <c r="B33" t="s">
        <v>0</v>
      </c>
      <c r="C33" t="s">
        <v>215</v>
      </c>
      <c r="D33" t="str">
        <f t="shared" si="0"/>
        <v>011</v>
      </c>
      <c r="E33" t="str">
        <f>"6182"</f>
        <v>6182</v>
      </c>
      <c r="F33" t="s">
        <v>34</v>
      </c>
      <c r="G33" s="2">
        <v>6220</v>
      </c>
    </row>
    <row r="34" spans="1:7" ht="14.25">
      <c r="A34" t="s">
        <v>213</v>
      </c>
      <c r="B34" t="s">
        <v>0</v>
      </c>
      <c r="C34" t="s">
        <v>215</v>
      </c>
      <c r="D34" t="str">
        <f t="shared" si="0"/>
        <v>011</v>
      </c>
      <c r="E34" t="str">
        <f>"6184"</f>
        <v>6184</v>
      </c>
      <c r="F34" t="s">
        <v>35</v>
      </c>
      <c r="G34" s="2">
        <v>12600</v>
      </c>
    </row>
    <row r="35" spans="1:7" ht="14.25">
      <c r="A35" t="s">
        <v>213</v>
      </c>
      <c r="B35" t="s">
        <v>0</v>
      </c>
      <c r="C35" t="s">
        <v>215</v>
      </c>
      <c r="D35" t="str">
        <f aca="true" t="shared" si="1" ref="D35:D63">"011"</f>
        <v>011</v>
      </c>
      <c r="E35" t="str">
        <f>"6185"</f>
        <v>6185</v>
      </c>
      <c r="F35" t="s">
        <v>36</v>
      </c>
      <c r="G35" s="2">
        <v>500</v>
      </c>
    </row>
    <row r="36" spans="1:7" ht="14.25">
      <c r="A36" t="s">
        <v>213</v>
      </c>
      <c r="B36" t="s">
        <v>0</v>
      </c>
      <c r="C36" t="s">
        <v>215</v>
      </c>
      <c r="D36" t="str">
        <f t="shared" si="1"/>
        <v>011</v>
      </c>
      <c r="E36" t="str">
        <f>"6188"</f>
        <v>6188</v>
      </c>
      <c r="F36" t="s">
        <v>37</v>
      </c>
      <c r="G36" s="2">
        <v>86850</v>
      </c>
    </row>
    <row r="37" spans="1:7" ht="14.25">
      <c r="A37" t="s">
        <v>213</v>
      </c>
      <c r="B37" t="s">
        <v>0</v>
      </c>
      <c r="C37" t="s">
        <v>215</v>
      </c>
      <c r="D37" t="str">
        <f t="shared" si="1"/>
        <v>011</v>
      </c>
      <c r="E37" t="str">
        <f>"6225"</f>
        <v>6225</v>
      </c>
      <c r="F37" t="s">
        <v>38</v>
      </c>
      <c r="G37" s="2">
        <v>330</v>
      </c>
    </row>
    <row r="38" spans="1:7" ht="14.25">
      <c r="A38" t="s">
        <v>213</v>
      </c>
      <c r="B38" t="s">
        <v>0</v>
      </c>
      <c r="C38" t="s">
        <v>215</v>
      </c>
      <c r="D38" t="str">
        <f t="shared" si="1"/>
        <v>011</v>
      </c>
      <c r="E38" t="str">
        <f>"6226"</f>
        <v>6226</v>
      </c>
      <c r="F38" t="s">
        <v>39</v>
      </c>
      <c r="G38" s="2">
        <v>13700</v>
      </c>
    </row>
    <row r="39" spans="1:7" ht="14.25">
      <c r="A39" t="s">
        <v>213</v>
      </c>
      <c r="B39" t="s">
        <v>0</v>
      </c>
      <c r="C39" t="s">
        <v>215</v>
      </c>
      <c r="D39" t="str">
        <f t="shared" si="1"/>
        <v>011</v>
      </c>
      <c r="E39" t="str">
        <f>"6227"</f>
        <v>6227</v>
      </c>
      <c r="F39" t="s">
        <v>40</v>
      </c>
      <c r="G39" s="2">
        <v>9000</v>
      </c>
    </row>
    <row r="40" spans="1:7" ht="14.25">
      <c r="A40" t="s">
        <v>213</v>
      </c>
      <c r="B40" t="s">
        <v>0</v>
      </c>
      <c r="C40" t="s">
        <v>215</v>
      </c>
      <c r="D40" t="str">
        <f t="shared" si="1"/>
        <v>011</v>
      </c>
      <c r="E40" t="str">
        <f>"6228"</f>
        <v>6228</v>
      </c>
      <c r="F40" t="s">
        <v>41</v>
      </c>
      <c r="G40" s="2">
        <v>10000</v>
      </c>
    </row>
    <row r="41" spans="1:7" ht="14.25">
      <c r="A41" t="s">
        <v>213</v>
      </c>
      <c r="B41" t="s">
        <v>0</v>
      </c>
      <c r="C41" t="s">
        <v>215</v>
      </c>
      <c r="D41" t="str">
        <f t="shared" si="1"/>
        <v>011</v>
      </c>
      <c r="E41" t="str">
        <f>"6231"</f>
        <v>6231</v>
      </c>
      <c r="F41" t="s">
        <v>42</v>
      </c>
      <c r="G41" s="2">
        <v>10000</v>
      </c>
    </row>
    <row r="42" spans="1:7" ht="14.25">
      <c r="A42" t="s">
        <v>213</v>
      </c>
      <c r="B42" t="s">
        <v>0</v>
      </c>
      <c r="C42" t="s">
        <v>215</v>
      </c>
      <c r="D42" t="str">
        <f t="shared" si="1"/>
        <v>011</v>
      </c>
      <c r="E42" t="str">
        <f>"6232"</f>
        <v>6232</v>
      </c>
      <c r="F42" t="s">
        <v>43</v>
      </c>
      <c r="G42" s="2">
        <v>38280</v>
      </c>
    </row>
    <row r="43" spans="1:7" ht="14.25">
      <c r="A43" t="s">
        <v>213</v>
      </c>
      <c r="B43" t="s">
        <v>0</v>
      </c>
      <c r="C43" t="s">
        <v>215</v>
      </c>
      <c r="D43" t="str">
        <f t="shared" si="1"/>
        <v>011</v>
      </c>
      <c r="E43" t="str">
        <f>"6237"</f>
        <v>6237</v>
      </c>
      <c r="F43" t="s">
        <v>44</v>
      </c>
      <c r="G43" s="2">
        <v>30000</v>
      </c>
    </row>
    <row r="44" spans="1:7" ht="14.25">
      <c r="A44" t="s">
        <v>213</v>
      </c>
      <c r="B44" t="s">
        <v>0</v>
      </c>
      <c r="C44" t="s">
        <v>215</v>
      </c>
      <c r="D44" t="str">
        <f t="shared" si="1"/>
        <v>011</v>
      </c>
      <c r="E44" t="str">
        <f>"6238"</f>
        <v>6238</v>
      </c>
      <c r="F44" t="s">
        <v>41</v>
      </c>
      <c r="G44" s="2">
        <v>7600</v>
      </c>
    </row>
    <row r="45" spans="1:7" ht="14.25">
      <c r="A45" t="s">
        <v>213</v>
      </c>
      <c r="B45" t="s">
        <v>0</v>
      </c>
      <c r="C45" t="s">
        <v>215</v>
      </c>
      <c r="D45" t="str">
        <f t="shared" si="1"/>
        <v>011</v>
      </c>
      <c r="E45" t="str">
        <f>"6241"</f>
        <v>6241</v>
      </c>
      <c r="F45" t="s">
        <v>45</v>
      </c>
      <c r="G45" s="2">
        <v>600</v>
      </c>
    </row>
    <row r="46" spans="1:7" ht="14.25">
      <c r="A46" t="s">
        <v>213</v>
      </c>
      <c r="B46" t="s">
        <v>0</v>
      </c>
      <c r="C46" t="s">
        <v>215</v>
      </c>
      <c r="D46" t="str">
        <f t="shared" si="1"/>
        <v>011</v>
      </c>
      <c r="E46" t="str">
        <f>"6247"</f>
        <v>6247</v>
      </c>
      <c r="F46" t="s">
        <v>46</v>
      </c>
      <c r="G46" s="2">
        <v>32250</v>
      </c>
    </row>
    <row r="47" spans="1:7" ht="14.25">
      <c r="A47" t="s">
        <v>213</v>
      </c>
      <c r="B47" t="s">
        <v>0</v>
      </c>
      <c r="C47" t="s">
        <v>215</v>
      </c>
      <c r="D47" t="str">
        <f t="shared" si="1"/>
        <v>011</v>
      </c>
      <c r="E47" t="str">
        <f>"6248"</f>
        <v>6248</v>
      </c>
      <c r="F47" t="s">
        <v>41</v>
      </c>
      <c r="G47" s="2">
        <v>100</v>
      </c>
    </row>
    <row r="48" spans="1:7" ht="14.25">
      <c r="A48" t="s">
        <v>213</v>
      </c>
      <c r="B48" t="s">
        <v>0</v>
      </c>
      <c r="C48" t="s">
        <v>215</v>
      </c>
      <c r="D48" t="str">
        <f t="shared" si="1"/>
        <v>011</v>
      </c>
      <c r="E48" t="str">
        <f>"6251"</f>
        <v>6251</v>
      </c>
      <c r="F48" t="s">
        <v>47</v>
      </c>
      <c r="G48" s="2">
        <v>3210</v>
      </c>
    </row>
    <row r="49" spans="1:7" ht="14.25">
      <c r="A49" t="s">
        <v>213</v>
      </c>
      <c r="B49" t="s">
        <v>0</v>
      </c>
      <c r="C49" t="s">
        <v>215</v>
      </c>
      <c r="D49" t="str">
        <f t="shared" si="1"/>
        <v>011</v>
      </c>
      <c r="E49" t="str">
        <f>"6256"</f>
        <v>6256</v>
      </c>
      <c r="F49" t="s">
        <v>48</v>
      </c>
      <c r="G49" s="2">
        <v>1950</v>
      </c>
    </row>
    <row r="50" spans="1:7" ht="14.25">
      <c r="A50" t="s">
        <v>213</v>
      </c>
      <c r="B50" t="s">
        <v>0</v>
      </c>
      <c r="C50" t="s">
        <v>215</v>
      </c>
      <c r="D50" t="str">
        <f t="shared" si="1"/>
        <v>011</v>
      </c>
      <c r="E50" t="str">
        <f>"6257"</f>
        <v>6257</v>
      </c>
      <c r="F50" t="s">
        <v>49</v>
      </c>
      <c r="G50" s="2">
        <v>21100</v>
      </c>
    </row>
    <row r="51" spans="1:7" ht="14.25">
      <c r="A51" t="s">
        <v>213</v>
      </c>
      <c r="B51" t="s">
        <v>0</v>
      </c>
      <c r="C51" t="s">
        <v>215</v>
      </c>
      <c r="D51" t="str">
        <f t="shared" si="1"/>
        <v>011</v>
      </c>
      <c r="E51" t="str">
        <f>"6261"</f>
        <v>6261</v>
      </c>
      <c r="F51" t="s">
        <v>50</v>
      </c>
      <c r="G51" s="2">
        <v>12150</v>
      </c>
    </row>
    <row r="52" spans="1:7" ht="14.25">
      <c r="A52" t="s">
        <v>213</v>
      </c>
      <c r="B52" t="s">
        <v>0</v>
      </c>
      <c r="C52" t="s">
        <v>215</v>
      </c>
      <c r="D52" t="str">
        <f t="shared" si="1"/>
        <v>011</v>
      </c>
      <c r="E52" t="str">
        <f>"6262"</f>
        <v>6262</v>
      </c>
      <c r="F52" t="s">
        <v>51</v>
      </c>
      <c r="G52" s="2">
        <v>36650</v>
      </c>
    </row>
    <row r="53" spans="1:7" ht="14.25">
      <c r="A53" t="s">
        <v>213</v>
      </c>
      <c r="B53" t="s">
        <v>0</v>
      </c>
      <c r="C53" t="s">
        <v>215</v>
      </c>
      <c r="D53" t="str">
        <f t="shared" si="1"/>
        <v>011</v>
      </c>
      <c r="E53" t="str">
        <f>"627"</f>
        <v>627</v>
      </c>
      <c r="F53" t="s">
        <v>52</v>
      </c>
      <c r="G53" s="2">
        <v>1000</v>
      </c>
    </row>
    <row r="54" spans="1:7" ht="14.25">
      <c r="A54" t="s">
        <v>213</v>
      </c>
      <c r="B54" t="s">
        <v>0</v>
      </c>
      <c r="C54" t="s">
        <v>215</v>
      </c>
      <c r="D54" t="str">
        <f t="shared" si="1"/>
        <v>011</v>
      </c>
      <c r="E54" t="str">
        <f>"6281"</f>
        <v>6281</v>
      </c>
      <c r="F54" t="s">
        <v>53</v>
      </c>
      <c r="G54" s="2">
        <v>5625</v>
      </c>
    </row>
    <row r="55" spans="1:7" ht="14.25">
      <c r="A55" t="s">
        <v>213</v>
      </c>
      <c r="B55" t="s">
        <v>0</v>
      </c>
      <c r="C55" t="s">
        <v>215</v>
      </c>
      <c r="D55" t="str">
        <f t="shared" si="1"/>
        <v>011</v>
      </c>
      <c r="E55" t="str">
        <f>"6282"</f>
        <v>6282</v>
      </c>
      <c r="F55" t="s">
        <v>54</v>
      </c>
      <c r="G55" s="2">
        <v>300</v>
      </c>
    </row>
    <row r="56" spans="1:7" ht="14.25">
      <c r="A56" t="s">
        <v>213</v>
      </c>
      <c r="B56" t="s">
        <v>0</v>
      </c>
      <c r="C56" t="s">
        <v>215</v>
      </c>
      <c r="D56" t="str">
        <f t="shared" si="1"/>
        <v>011</v>
      </c>
      <c r="E56" t="str">
        <f>"6283"</f>
        <v>6283</v>
      </c>
      <c r="F56" t="s">
        <v>55</v>
      </c>
      <c r="G56" s="2">
        <v>51150</v>
      </c>
    </row>
    <row r="57" spans="1:7" ht="14.25">
      <c r="A57" t="s">
        <v>213</v>
      </c>
      <c r="B57" t="s">
        <v>0</v>
      </c>
      <c r="C57" t="s">
        <v>215</v>
      </c>
      <c r="D57" t="str">
        <f t="shared" si="1"/>
        <v>011</v>
      </c>
      <c r="E57" t="str">
        <f>"6284"</f>
        <v>6284</v>
      </c>
      <c r="F57" t="s">
        <v>56</v>
      </c>
      <c r="G57" s="2">
        <v>12400</v>
      </c>
    </row>
    <row r="58" spans="1:7" ht="14.25">
      <c r="A58" t="s">
        <v>213</v>
      </c>
      <c r="B58" t="s">
        <v>0</v>
      </c>
      <c r="C58" t="s">
        <v>215</v>
      </c>
      <c r="D58" t="str">
        <f t="shared" si="1"/>
        <v>011</v>
      </c>
      <c r="E58" t="str">
        <f>"62871"</f>
        <v>62871</v>
      </c>
      <c r="F58" t="s">
        <v>57</v>
      </c>
      <c r="G58" s="2">
        <v>850</v>
      </c>
    </row>
    <row r="59" spans="1:7" ht="14.25">
      <c r="A59" t="s">
        <v>213</v>
      </c>
      <c r="B59" t="s">
        <v>0</v>
      </c>
      <c r="C59" t="s">
        <v>215</v>
      </c>
      <c r="D59" t="str">
        <f t="shared" si="1"/>
        <v>011</v>
      </c>
      <c r="E59" t="str">
        <f>"62876"</f>
        <v>62876</v>
      </c>
      <c r="F59" t="s">
        <v>58</v>
      </c>
      <c r="G59" s="2">
        <v>420</v>
      </c>
    </row>
    <row r="60" spans="1:7" ht="14.25">
      <c r="A60" t="s">
        <v>213</v>
      </c>
      <c r="B60" t="s">
        <v>0</v>
      </c>
      <c r="C60" t="s">
        <v>215</v>
      </c>
      <c r="D60" t="str">
        <f t="shared" si="1"/>
        <v>011</v>
      </c>
      <c r="E60" t="str">
        <f>"6288"</f>
        <v>6288</v>
      </c>
      <c r="F60" t="s">
        <v>59</v>
      </c>
      <c r="G60" s="2">
        <v>12370</v>
      </c>
    </row>
    <row r="61" spans="1:7" ht="14.25">
      <c r="A61" t="s">
        <v>213</v>
      </c>
      <c r="B61" t="s">
        <v>0</v>
      </c>
      <c r="C61" t="s">
        <v>215</v>
      </c>
      <c r="D61" t="str">
        <f t="shared" si="1"/>
        <v>011</v>
      </c>
      <c r="E61" t="str">
        <f>"63512"</f>
        <v>63512</v>
      </c>
      <c r="F61" t="s">
        <v>60</v>
      </c>
      <c r="G61" s="2">
        <v>26000</v>
      </c>
    </row>
    <row r="62" spans="1:7" ht="14.25">
      <c r="A62" t="s">
        <v>213</v>
      </c>
      <c r="B62" t="s">
        <v>0</v>
      </c>
      <c r="C62" t="s">
        <v>215</v>
      </c>
      <c r="D62" t="str">
        <f t="shared" si="1"/>
        <v>011</v>
      </c>
      <c r="E62" t="str">
        <f>"6355"</f>
        <v>6355</v>
      </c>
      <c r="F62" t="s">
        <v>61</v>
      </c>
      <c r="G62" s="2">
        <v>150</v>
      </c>
    </row>
    <row r="63" spans="1:7" ht="14.25">
      <c r="A63" t="s">
        <v>213</v>
      </c>
      <c r="B63" t="s">
        <v>0</v>
      </c>
      <c r="C63" t="s">
        <v>215</v>
      </c>
      <c r="D63" t="str">
        <f t="shared" si="1"/>
        <v>011</v>
      </c>
      <c r="E63" t="str">
        <f>"6358"</f>
        <v>6358</v>
      </c>
      <c r="F63" t="s">
        <v>62</v>
      </c>
      <c r="G63" s="6">
        <v>850</v>
      </c>
    </row>
    <row r="64" spans="1:7" s="3" customFormat="1" ht="14.25">
      <c r="A64" s="3" t="s">
        <v>213</v>
      </c>
      <c r="B64" s="3" t="s">
        <v>0</v>
      </c>
      <c r="C64" s="3" t="s">
        <v>215</v>
      </c>
      <c r="D64" s="4" t="s">
        <v>219</v>
      </c>
      <c r="F64" s="3" t="s">
        <v>220</v>
      </c>
      <c r="G64" s="5">
        <f>SUM(G65:G83)</f>
        <v>3435260</v>
      </c>
    </row>
    <row r="65" spans="1:7" ht="14.25">
      <c r="A65" t="s">
        <v>213</v>
      </c>
      <c r="B65" t="s">
        <v>0</v>
      </c>
      <c r="C65" t="s">
        <v>215</v>
      </c>
      <c r="D65" t="str">
        <f aca="true" t="shared" si="2" ref="D65:D83">"012"</f>
        <v>012</v>
      </c>
      <c r="E65" t="str">
        <f>"6218"</f>
        <v>6218</v>
      </c>
      <c r="F65" t="s">
        <v>63</v>
      </c>
      <c r="G65" s="2">
        <v>6000</v>
      </c>
    </row>
    <row r="66" spans="1:7" ht="14.25">
      <c r="A66" t="s">
        <v>213</v>
      </c>
      <c r="B66" t="s">
        <v>0</v>
      </c>
      <c r="C66" t="s">
        <v>215</v>
      </c>
      <c r="D66" t="str">
        <f t="shared" si="2"/>
        <v>012</v>
      </c>
      <c r="E66" t="str">
        <f>"6331"</f>
        <v>6331</v>
      </c>
      <c r="F66" t="s">
        <v>64</v>
      </c>
      <c r="G66" s="2">
        <v>13690</v>
      </c>
    </row>
    <row r="67" spans="1:7" ht="14.25">
      <c r="A67" t="s">
        <v>213</v>
      </c>
      <c r="B67" t="s">
        <v>0</v>
      </c>
      <c r="C67" t="s">
        <v>215</v>
      </c>
      <c r="D67" t="str">
        <f t="shared" si="2"/>
        <v>012</v>
      </c>
      <c r="E67" t="str">
        <f>"6332"</f>
        <v>6332</v>
      </c>
      <c r="F67" t="s">
        <v>65</v>
      </c>
      <c r="G67" s="2">
        <v>9560</v>
      </c>
    </row>
    <row r="68" spans="1:7" ht="14.25">
      <c r="A68" t="s">
        <v>213</v>
      </c>
      <c r="B68" t="s">
        <v>0</v>
      </c>
      <c r="C68" t="s">
        <v>215</v>
      </c>
      <c r="D68" t="str">
        <f t="shared" si="2"/>
        <v>012</v>
      </c>
      <c r="E68" t="str">
        <f>"6336"</f>
        <v>6336</v>
      </c>
      <c r="F68" t="s">
        <v>66</v>
      </c>
      <c r="G68" s="2">
        <v>45820</v>
      </c>
    </row>
    <row r="69" spans="1:7" ht="14.25">
      <c r="A69" t="s">
        <v>213</v>
      </c>
      <c r="B69" t="s">
        <v>0</v>
      </c>
      <c r="C69" t="s">
        <v>215</v>
      </c>
      <c r="D69" t="str">
        <f t="shared" si="2"/>
        <v>012</v>
      </c>
      <c r="E69" t="str">
        <f>"64111"</f>
        <v>64111</v>
      </c>
      <c r="F69" t="s">
        <v>67</v>
      </c>
      <c r="G69" s="2">
        <v>1704600</v>
      </c>
    </row>
    <row r="70" spans="1:7" ht="14.25">
      <c r="A70" t="s">
        <v>213</v>
      </c>
      <c r="B70" t="s">
        <v>0</v>
      </c>
      <c r="C70" t="s">
        <v>215</v>
      </c>
      <c r="D70" t="str">
        <f t="shared" si="2"/>
        <v>012</v>
      </c>
      <c r="E70" t="str">
        <f>"64112"</f>
        <v>64112</v>
      </c>
      <c r="F70" t="s">
        <v>68</v>
      </c>
      <c r="G70" s="2">
        <v>34270</v>
      </c>
    </row>
    <row r="71" spans="1:7" ht="14.25">
      <c r="A71" t="s">
        <v>213</v>
      </c>
      <c r="B71" t="s">
        <v>0</v>
      </c>
      <c r="C71" t="s">
        <v>215</v>
      </c>
      <c r="D71" t="str">
        <f t="shared" si="2"/>
        <v>012</v>
      </c>
      <c r="E71" t="str">
        <f>"64118"</f>
        <v>64118</v>
      </c>
      <c r="F71" t="s">
        <v>69</v>
      </c>
      <c r="G71" s="2">
        <v>384300</v>
      </c>
    </row>
    <row r="72" spans="1:7" ht="14.25">
      <c r="A72" t="s">
        <v>213</v>
      </c>
      <c r="B72" t="s">
        <v>0</v>
      </c>
      <c r="C72" t="s">
        <v>215</v>
      </c>
      <c r="D72" t="str">
        <f t="shared" si="2"/>
        <v>012</v>
      </c>
      <c r="E72" t="str">
        <f>"64131"</f>
        <v>64131</v>
      </c>
      <c r="F72" t="s">
        <v>70</v>
      </c>
      <c r="G72" s="2">
        <v>188900</v>
      </c>
    </row>
    <row r="73" spans="1:7" ht="14.25">
      <c r="A73" t="s">
        <v>213</v>
      </c>
      <c r="B73" t="s">
        <v>0</v>
      </c>
      <c r="C73" t="s">
        <v>215</v>
      </c>
      <c r="D73" t="str">
        <f t="shared" si="2"/>
        <v>012</v>
      </c>
      <c r="E73" t="str">
        <f>"64138"</f>
        <v>64138</v>
      </c>
      <c r="F73" t="s">
        <v>71</v>
      </c>
      <c r="G73" s="2">
        <v>1500</v>
      </c>
    </row>
    <row r="74" spans="1:7" ht="14.25">
      <c r="A74" t="s">
        <v>213</v>
      </c>
      <c r="B74" t="s">
        <v>0</v>
      </c>
      <c r="C74" t="s">
        <v>215</v>
      </c>
      <c r="D74" t="str">
        <f t="shared" si="2"/>
        <v>012</v>
      </c>
      <c r="E74" t="str">
        <f>"6417"</f>
        <v>6417</v>
      </c>
      <c r="F74" t="s">
        <v>72</v>
      </c>
      <c r="G74" s="2">
        <v>27000</v>
      </c>
    </row>
    <row r="75" spans="1:7" ht="14.25">
      <c r="A75" t="s">
        <v>213</v>
      </c>
      <c r="B75" t="s">
        <v>0</v>
      </c>
      <c r="C75" t="s">
        <v>215</v>
      </c>
      <c r="D75" t="str">
        <f t="shared" si="2"/>
        <v>012</v>
      </c>
      <c r="E75" t="str">
        <f>"6451"</f>
        <v>6451</v>
      </c>
      <c r="F75" t="s">
        <v>73</v>
      </c>
      <c r="G75" s="2">
        <v>296250</v>
      </c>
    </row>
    <row r="76" spans="1:7" ht="14.25">
      <c r="A76" t="s">
        <v>213</v>
      </c>
      <c r="B76" t="s">
        <v>0</v>
      </c>
      <c r="C76" t="s">
        <v>215</v>
      </c>
      <c r="D76" t="str">
        <f t="shared" si="2"/>
        <v>012</v>
      </c>
      <c r="E76" t="str">
        <f>"6453"</f>
        <v>6453</v>
      </c>
      <c r="F76" t="s">
        <v>74</v>
      </c>
      <c r="G76" s="2">
        <v>519200</v>
      </c>
    </row>
    <row r="77" spans="1:7" ht="14.25">
      <c r="A77" t="s">
        <v>213</v>
      </c>
      <c r="B77" t="s">
        <v>0</v>
      </c>
      <c r="C77" t="s">
        <v>215</v>
      </c>
      <c r="D77" t="str">
        <f t="shared" si="2"/>
        <v>012</v>
      </c>
      <c r="E77" t="str">
        <f>"6454"</f>
        <v>6454</v>
      </c>
      <c r="F77" t="s">
        <v>75</v>
      </c>
      <c r="G77" s="2">
        <v>6400</v>
      </c>
    </row>
    <row r="78" spans="1:7" ht="14.25">
      <c r="A78" t="s">
        <v>213</v>
      </c>
      <c r="B78" t="s">
        <v>0</v>
      </c>
      <c r="C78" t="s">
        <v>215</v>
      </c>
      <c r="D78" t="str">
        <f t="shared" si="2"/>
        <v>012</v>
      </c>
      <c r="E78" t="str">
        <f>"6455"</f>
        <v>6455</v>
      </c>
      <c r="F78" t="s">
        <v>76</v>
      </c>
      <c r="G78" s="2">
        <v>102300</v>
      </c>
    </row>
    <row r="79" spans="1:7" ht="14.25">
      <c r="A79" t="s">
        <v>213</v>
      </c>
      <c r="B79" t="s">
        <v>0</v>
      </c>
      <c r="C79" t="s">
        <v>215</v>
      </c>
      <c r="D79" t="str">
        <f t="shared" si="2"/>
        <v>012</v>
      </c>
      <c r="E79" t="str">
        <f>"6456"</f>
        <v>6456</v>
      </c>
      <c r="F79" t="s">
        <v>77</v>
      </c>
      <c r="G79" s="2">
        <v>0</v>
      </c>
    </row>
    <row r="80" spans="1:7" ht="14.25">
      <c r="A80" t="s">
        <v>213</v>
      </c>
      <c r="B80" t="s">
        <v>0</v>
      </c>
      <c r="C80" t="s">
        <v>215</v>
      </c>
      <c r="D80" t="str">
        <f t="shared" si="2"/>
        <v>012</v>
      </c>
      <c r="E80" t="str">
        <f>"6458"</f>
        <v>6458</v>
      </c>
      <c r="F80" t="s">
        <v>78</v>
      </c>
      <c r="G80" s="2">
        <v>6720</v>
      </c>
    </row>
    <row r="81" spans="1:7" ht="14.25">
      <c r="A81" t="s">
        <v>213</v>
      </c>
      <c r="B81" t="s">
        <v>0</v>
      </c>
      <c r="C81" t="s">
        <v>215</v>
      </c>
      <c r="D81" t="str">
        <f t="shared" si="2"/>
        <v>012</v>
      </c>
      <c r="E81" t="str">
        <f>"6475"</f>
        <v>6475</v>
      </c>
      <c r="F81" t="s">
        <v>79</v>
      </c>
      <c r="G81" s="2">
        <v>3500</v>
      </c>
    </row>
    <row r="82" spans="1:7" ht="14.25">
      <c r="A82" t="s">
        <v>213</v>
      </c>
      <c r="B82" t="s">
        <v>0</v>
      </c>
      <c r="C82" t="s">
        <v>215</v>
      </c>
      <c r="D82" t="str">
        <f t="shared" si="2"/>
        <v>012</v>
      </c>
      <c r="E82" t="str">
        <f>"6478"</f>
        <v>6478</v>
      </c>
      <c r="F82" t="s">
        <v>80</v>
      </c>
      <c r="G82" s="2">
        <v>80000</v>
      </c>
    </row>
    <row r="83" spans="1:7" ht="14.25">
      <c r="A83" t="s">
        <v>213</v>
      </c>
      <c r="B83" t="s">
        <v>0</v>
      </c>
      <c r="C83" t="s">
        <v>215</v>
      </c>
      <c r="D83" t="str">
        <f t="shared" si="2"/>
        <v>012</v>
      </c>
      <c r="E83" t="str">
        <f>"6488"</f>
        <v>6488</v>
      </c>
      <c r="F83" t="s">
        <v>81</v>
      </c>
      <c r="G83" s="2">
        <v>5250</v>
      </c>
    </row>
    <row r="84" spans="1:7" s="3" customFormat="1" ht="14.25">
      <c r="A84" s="3" t="s">
        <v>213</v>
      </c>
      <c r="B84" s="3" t="s">
        <v>0</v>
      </c>
      <c r="C84" s="3" t="s">
        <v>215</v>
      </c>
      <c r="D84" s="4" t="s">
        <v>221</v>
      </c>
      <c r="F84" s="3" t="s">
        <v>222</v>
      </c>
      <c r="G84" s="5">
        <f>SUM(G85:G86)</f>
        <v>2000</v>
      </c>
    </row>
    <row r="85" spans="1:7" ht="14.25">
      <c r="A85" t="s">
        <v>213</v>
      </c>
      <c r="B85" t="s">
        <v>0</v>
      </c>
      <c r="C85" t="s">
        <v>215</v>
      </c>
      <c r="D85" t="str">
        <f>"014"</f>
        <v>014</v>
      </c>
      <c r="E85" t="str">
        <f>"7391171"</f>
        <v>7391171</v>
      </c>
      <c r="F85" t="s">
        <v>85</v>
      </c>
      <c r="G85" s="2">
        <v>500</v>
      </c>
    </row>
    <row r="86" spans="1:7" ht="14.25">
      <c r="A86" t="s">
        <v>213</v>
      </c>
      <c r="B86" t="s">
        <v>0</v>
      </c>
      <c r="C86" t="s">
        <v>215</v>
      </c>
      <c r="D86" t="str">
        <f>"014"</f>
        <v>014</v>
      </c>
      <c r="E86" t="str">
        <f>"739223"</f>
        <v>739223</v>
      </c>
      <c r="F86" t="s">
        <v>86</v>
      </c>
      <c r="G86" s="2">
        <v>1500</v>
      </c>
    </row>
    <row r="87" spans="1:7" s="3" customFormat="1" ht="14.25">
      <c r="A87" s="3" t="s">
        <v>213</v>
      </c>
      <c r="B87" s="3" t="s">
        <v>0</v>
      </c>
      <c r="C87" s="3" t="s">
        <v>215</v>
      </c>
      <c r="D87" s="4" t="s">
        <v>223</v>
      </c>
      <c r="F87" s="3" t="s">
        <v>88</v>
      </c>
      <c r="G87" s="5">
        <v>165486.38</v>
      </c>
    </row>
    <row r="88" spans="1:7" ht="14.25">
      <c r="A88" t="s">
        <v>213</v>
      </c>
      <c r="B88" t="s">
        <v>0</v>
      </c>
      <c r="C88" t="s">
        <v>215</v>
      </c>
      <c r="D88" t="str">
        <f>"022"</f>
        <v>022</v>
      </c>
      <c r="E88" t="str">
        <f>"022"</f>
        <v>022</v>
      </c>
      <c r="F88" t="s">
        <v>88</v>
      </c>
      <c r="G88" s="2">
        <v>165486.38</v>
      </c>
    </row>
    <row r="89" spans="1:7" s="3" customFormat="1" ht="14.25">
      <c r="A89" s="3" t="s">
        <v>214</v>
      </c>
      <c r="B89" s="3" t="s">
        <v>0</v>
      </c>
      <c r="C89" s="3" t="s">
        <v>215</v>
      </c>
      <c r="D89" s="4" t="s">
        <v>224</v>
      </c>
      <c r="F89" s="3" t="s">
        <v>89</v>
      </c>
      <c r="G89" s="5">
        <v>2415000</v>
      </c>
    </row>
    <row r="90" spans="1:7" ht="14.25">
      <c r="A90" t="s">
        <v>214</v>
      </c>
      <c r="B90" t="s">
        <v>0</v>
      </c>
      <c r="C90" t="s">
        <v>215</v>
      </c>
      <c r="D90" t="str">
        <f>"023"</f>
        <v>023</v>
      </c>
      <c r="E90" t="str">
        <f>"023"</f>
        <v>023</v>
      </c>
      <c r="F90" t="s">
        <v>89</v>
      </c>
      <c r="G90" s="2">
        <v>2415000</v>
      </c>
    </row>
    <row r="91" spans="1:7" ht="14.25">
      <c r="A91" s="3" t="s">
        <v>214</v>
      </c>
      <c r="B91" s="3" t="s">
        <v>0</v>
      </c>
      <c r="C91" s="3" t="s">
        <v>215</v>
      </c>
      <c r="D91" s="4" t="s">
        <v>225</v>
      </c>
      <c r="F91" s="3" t="s">
        <v>226</v>
      </c>
      <c r="G91" s="5">
        <v>483378</v>
      </c>
    </row>
    <row r="92" spans="1:7" ht="14.25">
      <c r="A92" t="s">
        <v>214</v>
      </c>
      <c r="B92" t="s">
        <v>0</v>
      </c>
      <c r="C92" t="s">
        <v>215</v>
      </c>
      <c r="D92" t="str">
        <f>"042"</f>
        <v>042</v>
      </c>
      <c r="E92" t="str">
        <f>"6811"</f>
        <v>6811</v>
      </c>
      <c r="F92" t="s">
        <v>126</v>
      </c>
      <c r="G92" s="2">
        <v>483378</v>
      </c>
    </row>
    <row r="93" spans="1:7" s="3" customFormat="1" ht="14.25">
      <c r="A93" s="3" t="s">
        <v>213</v>
      </c>
      <c r="B93" s="3" t="s">
        <v>0</v>
      </c>
      <c r="C93" s="3" t="s">
        <v>215</v>
      </c>
      <c r="D93" s="8">
        <v>65</v>
      </c>
      <c r="F93" s="3" t="s">
        <v>227</v>
      </c>
      <c r="G93" s="5">
        <f>SUM(G94:G106)</f>
        <v>826610</v>
      </c>
    </row>
    <row r="94" spans="1:7" ht="14.25">
      <c r="A94" t="s">
        <v>213</v>
      </c>
      <c r="B94" t="s">
        <v>0</v>
      </c>
      <c r="C94" t="s">
        <v>215</v>
      </c>
      <c r="D94" t="str">
        <f aca="true" t="shared" si="3" ref="D94:D106">"65"</f>
        <v>65</v>
      </c>
      <c r="E94" t="str">
        <f>"651"</f>
        <v>651</v>
      </c>
      <c r="F94" t="s">
        <v>155</v>
      </c>
      <c r="G94" s="2">
        <v>1750</v>
      </c>
    </row>
    <row r="95" spans="1:7" ht="14.25">
      <c r="A95" t="s">
        <v>213</v>
      </c>
      <c r="B95" t="s">
        <v>0</v>
      </c>
      <c r="C95" t="s">
        <v>215</v>
      </c>
      <c r="D95" t="str">
        <f t="shared" si="3"/>
        <v>65</v>
      </c>
      <c r="E95" t="str">
        <f>"6531"</f>
        <v>6531</v>
      </c>
      <c r="F95" t="s">
        <v>156</v>
      </c>
      <c r="G95" s="2">
        <v>110000</v>
      </c>
    </row>
    <row r="96" spans="1:7" ht="14.25">
      <c r="A96" t="s">
        <v>213</v>
      </c>
      <c r="B96" t="s">
        <v>0</v>
      </c>
      <c r="C96" t="s">
        <v>215</v>
      </c>
      <c r="D96" t="str">
        <f t="shared" si="3"/>
        <v>65</v>
      </c>
      <c r="E96" t="str">
        <f>"6532"</f>
        <v>6532</v>
      </c>
      <c r="F96" t="s">
        <v>157</v>
      </c>
      <c r="G96" s="2">
        <v>6000</v>
      </c>
    </row>
    <row r="97" spans="1:7" ht="14.25">
      <c r="A97" t="s">
        <v>213</v>
      </c>
      <c r="B97" t="s">
        <v>0</v>
      </c>
      <c r="C97" t="s">
        <v>215</v>
      </c>
      <c r="D97" t="str">
        <f t="shared" si="3"/>
        <v>65</v>
      </c>
      <c r="E97" t="str">
        <f>"6533"</f>
        <v>6533</v>
      </c>
      <c r="F97" t="s">
        <v>158</v>
      </c>
      <c r="G97" s="2">
        <v>9700</v>
      </c>
    </row>
    <row r="98" spans="1:7" ht="14.25">
      <c r="A98" t="s">
        <v>213</v>
      </c>
      <c r="B98" t="s">
        <v>0</v>
      </c>
      <c r="C98" t="s">
        <v>215</v>
      </c>
      <c r="D98" t="str">
        <f t="shared" si="3"/>
        <v>65</v>
      </c>
      <c r="E98" t="str">
        <f>"6534"</f>
        <v>6534</v>
      </c>
      <c r="F98" t="s">
        <v>159</v>
      </c>
      <c r="G98" s="2">
        <v>8200</v>
      </c>
    </row>
    <row r="99" spans="1:7" ht="14.25">
      <c r="A99" t="s">
        <v>213</v>
      </c>
      <c r="B99" t="s">
        <v>0</v>
      </c>
      <c r="C99" t="s">
        <v>215</v>
      </c>
      <c r="D99" t="str">
        <f t="shared" si="3"/>
        <v>65</v>
      </c>
      <c r="E99" t="str">
        <f>"6535"</f>
        <v>6535</v>
      </c>
      <c r="F99" t="s">
        <v>160</v>
      </c>
      <c r="G99" s="2">
        <v>3000</v>
      </c>
    </row>
    <row r="100" spans="1:7" ht="14.25">
      <c r="A100" t="s">
        <v>213</v>
      </c>
      <c r="B100" t="s">
        <v>0</v>
      </c>
      <c r="C100" t="s">
        <v>215</v>
      </c>
      <c r="D100" t="str">
        <f t="shared" si="3"/>
        <v>65</v>
      </c>
      <c r="E100" t="str">
        <f>"6541"</f>
        <v>6541</v>
      </c>
      <c r="F100" t="s">
        <v>161</v>
      </c>
      <c r="G100" s="2">
        <v>6000</v>
      </c>
    </row>
    <row r="101" spans="1:7" ht="14.25">
      <c r="A101" t="s">
        <v>213</v>
      </c>
      <c r="B101" t="s">
        <v>0</v>
      </c>
      <c r="C101" t="s">
        <v>215</v>
      </c>
      <c r="D101" t="str">
        <f t="shared" si="3"/>
        <v>65</v>
      </c>
      <c r="E101" t="str">
        <f>"6542"</f>
        <v>6542</v>
      </c>
      <c r="F101" t="s">
        <v>162</v>
      </c>
      <c r="G101" s="2">
        <v>4000</v>
      </c>
    </row>
    <row r="102" spans="1:7" ht="14.25">
      <c r="A102" t="s">
        <v>213</v>
      </c>
      <c r="B102" t="s">
        <v>0</v>
      </c>
      <c r="C102" t="s">
        <v>215</v>
      </c>
      <c r="D102" t="str">
        <f t="shared" si="3"/>
        <v>65</v>
      </c>
      <c r="E102" t="str">
        <f>"65548"</f>
        <v>65548</v>
      </c>
      <c r="F102" t="s">
        <v>163</v>
      </c>
      <c r="G102" s="2">
        <v>97860</v>
      </c>
    </row>
    <row r="103" spans="1:7" ht="14.25">
      <c r="A103" t="s">
        <v>213</v>
      </c>
      <c r="B103" t="s">
        <v>0</v>
      </c>
      <c r="C103" t="s">
        <v>215</v>
      </c>
      <c r="D103" t="str">
        <f t="shared" si="3"/>
        <v>65</v>
      </c>
      <c r="E103" t="str">
        <f>"6558"</f>
        <v>6558</v>
      </c>
      <c r="F103" t="s">
        <v>164</v>
      </c>
      <c r="G103" s="2">
        <v>1500</v>
      </c>
    </row>
    <row r="104" spans="1:7" ht="14.25">
      <c r="A104" t="s">
        <v>213</v>
      </c>
      <c r="B104" t="s">
        <v>0</v>
      </c>
      <c r="C104" t="s">
        <v>215</v>
      </c>
      <c r="D104" t="str">
        <f t="shared" si="3"/>
        <v>65</v>
      </c>
      <c r="E104" t="str">
        <f>"657362"</f>
        <v>657362</v>
      </c>
      <c r="F104" t="s">
        <v>165</v>
      </c>
      <c r="G104" s="2">
        <v>450000</v>
      </c>
    </row>
    <row r="105" spans="1:7" ht="14.25">
      <c r="A105" t="s">
        <v>213</v>
      </c>
      <c r="B105" t="s">
        <v>0</v>
      </c>
      <c r="C105" t="s">
        <v>215</v>
      </c>
      <c r="D105" t="str">
        <f t="shared" si="3"/>
        <v>65</v>
      </c>
      <c r="E105" t="str">
        <f>"6574"</f>
        <v>6574</v>
      </c>
      <c r="F105" t="s">
        <v>166</v>
      </c>
      <c r="G105" s="2">
        <v>125000</v>
      </c>
    </row>
    <row r="106" spans="1:7" ht="14.25">
      <c r="A106" t="s">
        <v>213</v>
      </c>
      <c r="B106" t="s">
        <v>0</v>
      </c>
      <c r="C106" t="s">
        <v>215</v>
      </c>
      <c r="D106" t="str">
        <f t="shared" si="3"/>
        <v>65</v>
      </c>
      <c r="E106" t="str">
        <f>"65888"</f>
        <v>65888</v>
      </c>
      <c r="F106" t="s">
        <v>167</v>
      </c>
      <c r="G106" s="2">
        <v>3600</v>
      </c>
    </row>
    <row r="107" spans="1:7" s="3" customFormat="1" ht="14.25">
      <c r="A107" s="3" t="s">
        <v>213</v>
      </c>
      <c r="B107" s="3" t="s">
        <v>0</v>
      </c>
      <c r="C107" s="3" t="s">
        <v>215</v>
      </c>
      <c r="D107" s="8">
        <v>66</v>
      </c>
      <c r="F107" s="3" t="s">
        <v>228</v>
      </c>
      <c r="G107" s="5">
        <f>SUM(G108:G109)</f>
        <v>15500</v>
      </c>
    </row>
    <row r="108" spans="1:7" ht="14.25">
      <c r="A108" t="s">
        <v>213</v>
      </c>
      <c r="B108" t="s">
        <v>0</v>
      </c>
      <c r="C108" t="s">
        <v>215</v>
      </c>
      <c r="D108" t="str">
        <f>"66"</f>
        <v>66</v>
      </c>
      <c r="E108" t="str">
        <f>"66111"</f>
        <v>66111</v>
      </c>
      <c r="F108" t="s">
        <v>168</v>
      </c>
      <c r="G108" s="2">
        <v>16000</v>
      </c>
    </row>
    <row r="109" spans="1:7" ht="14.25">
      <c r="A109" t="s">
        <v>213</v>
      </c>
      <c r="B109" t="s">
        <v>0</v>
      </c>
      <c r="C109" t="s">
        <v>215</v>
      </c>
      <c r="D109" t="str">
        <f>"66"</f>
        <v>66</v>
      </c>
      <c r="E109" t="str">
        <f>"66112"</f>
        <v>66112</v>
      </c>
      <c r="F109" t="s">
        <v>169</v>
      </c>
      <c r="G109" s="2">
        <v>-500</v>
      </c>
    </row>
    <row r="110" spans="1:7" s="3" customFormat="1" ht="14.25">
      <c r="A110" s="3" t="s">
        <v>213</v>
      </c>
      <c r="B110" s="3" t="s">
        <v>0</v>
      </c>
      <c r="C110" s="3" t="s">
        <v>215</v>
      </c>
      <c r="D110" s="8">
        <v>67</v>
      </c>
      <c r="F110" s="3" t="s">
        <v>229</v>
      </c>
      <c r="G110" s="5">
        <f>SUM(G111:G113)</f>
        <v>11300</v>
      </c>
    </row>
    <row r="111" spans="1:7" ht="14.25">
      <c r="A111" t="s">
        <v>213</v>
      </c>
      <c r="B111" t="s">
        <v>0</v>
      </c>
      <c r="C111" t="s">
        <v>215</v>
      </c>
      <c r="D111" t="str">
        <f>"67"</f>
        <v>67</v>
      </c>
      <c r="E111" t="str">
        <f>"6714"</f>
        <v>6714</v>
      </c>
      <c r="F111" t="s">
        <v>170</v>
      </c>
      <c r="G111" s="2">
        <v>500</v>
      </c>
    </row>
    <row r="112" spans="1:8" ht="14.25">
      <c r="A112" t="s">
        <v>213</v>
      </c>
      <c r="B112" t="s">
        <v>0</v>
      </c>
      <c r="C112" t="s">
        <v>215</v>
      </c>
      <c r="D112" t="str">
        <f>"67"</f>
        <v>67</v>
      </c>
      <c r="E112" t="str">
        <f>"673"</f>
        <v>673</v>
      </c>
      <c r="F112" t="s">
        <v>171</v>
      </c>
      <c r="G112" s="2">
        <v>10000</v>
      </c>
      <c r="H112" s="2"/>
    </row>
    <row r="113" spans="1:7" ht="14.25">
      <c r="A113" t="s">
        <v>213</v>
      </c>
      <c r="B113" t="s">
        <v>0</v>
      </c>
      <c r="C113" t="s">
        <v>215</v>
      </c>
      <c r="D113" t="str">
        <f>"67"</f>
        <v>67</v>
      </c>
      <c r="E113" t="str">
        <f>"678"</f>
        <v>678</v>
      </c>
      <c r="F113" t="s">
        <v>172</v>
      </c>
      <c r="G113" s="2">
        <v>800</v>
      </c>
    </row>
    <row r="114" spans="1:7" s="3" customFormat="1" ht="14.25">
      <c r="A114" s="3" t="s">
        <v>213</v>
      </c>
      <c r="B114" s="3" t="s">
        <v>0</v>
      </c>
      <c r="C114" s="3" t="s">
        <v>215</v>
      </c>
      <c r="D114" s="8">
        <v>68</v>
      </c>
      <c r="F114" s="3" t="s">
        <v>232</v>
      </c>
      <c r="G114" s="5">
        <v>5000</v>
      </c>
    </row>
    <row r="115" spans="1:7" ht="14.25">
      <c r="A115" t="s">
        <v>213</v>
      </c>
      <c r="B115" t="s">
        <v>0</v>
      </c>
      <c r="C115" t="s">
        <v>215</v>
      </c>
      <c r="D115" t="str">
        <f>"68"</f>
        <v>68</v>
      </c>
      <c r="E115" t="str">
        <f>"6817"</f>
        <v>6817</v>
      </c>
      <c r="F115" t="s">
        <v>173</v>
      </c>
      <c r="G115" s="2">
        <v>5000</v>
      </c>
    </row>
    <row r="116" spans="1:7" s="3" customFormat="1" ht="14.25">
      <c r="A116" s="3" t="s">
        <v>213</v>
      </c>
      <c r="B116" s="3" t="s">
        <v>2</v>
      </c>
      <c r="C116" s="3" t="s">
        <v>215</v>
      </c>
      <c r="D116" s="4" t="s">
        <v>230</v>
      </c>
      <c r="F116" s="3" t="s">
        <v>231</v>
      </c>
      <c r="G116" s="5">
        <f>G117</f>
        <v>2507984.38</v>
      </c>
    </row>
    <row r="117" spans="1:7" ht="14.25">
      <c r="A117" t="s">
        <v>213</v>
      </c>
      <c r="B117" t="s">
        <v>2</v>
      </c>
      <c r="C117" t="s">
        <v>215</v>
      </c>
      <c r="D117" t="str">
        <f>"002"</f>
        <v>002</v>
      </c>
      <c r="E117" t="str">
        <f>"002"</f>
        <v>002</v>
      </c>
      <c r="F117" t="s">
        <v>3</v>
      </c>
      <c r="G117" s="2">
        <v>2507984.38</v>
      </c>
    </row>
    <row r="118" spans="1:7" s="3" customFormat="1" ht="14.25">
      <c r="A118" s="3" t="s">
        <v>213</v>
      </c>
      <c r="B118" s="3" t="s">
        <v>2</v>
      </c>
      <c r="C118" s="3" t="s">
        <v>215</v>
      </c>
      <c r="D118" s="9" t="s">
        <v>233</v>
      </c>
      <c r="F118" s="3" t="s">
        <v>234</v>
      </c>
      <c r="G118" s="5">
        <f>SUM(G119:G121)</f>
        <v>130000</v>
      </c>
    </row>
    <row r="119" spans="1:7" ht="14.25">
      <c r="A119" t="s">
        <v>213</v>
      </c>
      <c r="B119" t="s">
        <v>2</v>
      </c>
      <c r="C119" t="s">
        <v>215</v>
      </c>
      <c r="D119" t="str">
        <f>"013"</f>
        <v>013</v>
      </c>
      <c r="E119" t="str">
        <f>"6419"</f>
        <v>6419</v>
      </c>
      <c r="F119" t="s">
        <v>82</v>
      </c>
      <c r="G119" s="2">
        <v>100000</v>
      </c>
    </row>
    <row r="120" spans="1:7" ht="14.25">
      <c r="A120" t="s">
        <v>213</v>
      </c>
      <c r="B120" t="s">
        <v>2</v>
      </c>
      <c r="C120" t="s">
        <v>215</v>
      </c>
      <c r="D120" t="str">
        <f>"013"</f>
        <v>013</v>
      </c>
      <c r="E120" t="str">
        <f>"6459"</f>
        <v>6459</v>
      </c>
      <c r="F120" t="s">
        <v>83</v>
      </c>
      <c r="G120" s="2">
        <v>0</v>
      </c>
    </row>
    <row r="121" spans="1:7" ht="14.25">
      <c r="A121" t="s">
        <v>213</v>
      </c>
      <c r="B121" t="s">
        <v>2</v>
      </c>
      <c r="C121" t="s">
        <v>215</v>
      </c>
      <c r="D121" t="str">
        <f>"013"</f>
        <v>013</v>
      </c>
      <c r="E121" t="str">
        <f>"6479"</f>
        <v>6479</v>
      </c>
      <c r="F121" t="s">
        <v>84</v>
      </c>
      <c r="G121" s="2">
        <v>30000</v>
      </c>
    </row>
    <row r="122" spans="1:7" s="3" customFormat="1" ht="14.25">
      <c r="A122" s="3" t="s">
        <v>214</v>
      </c>
      <c r="B122" s="3" t="s">
        <v>2</v>
      </c>
      <c r="C122" s="3" t="s">
        <v>215</v>
      </c>
      <c r="D122" s="9" t="s">
        <v>225</v>
      </c>
      <c r="F122" s="3" t="s">
        <v>226</v>
      </c>
      <c r="G122" s="5">
        <f>SUM(G123:G124)</f>
        <v>31925</v>
      </c>
    </row>
    <row r="123" spans="1:7" ht="14.25">
      <c r="A123" t="s">
        <v>214</v>
      </c>
      <c r="B123" t="s">
        <v>2</v>
      </c>
      <c r="C123" t="s">
        <v>215</v>
      </c>
      <c r="D123" t="str">
        <f>"042"</f>
        <v>042</v>
      </c>
      <c r="E123" t="str">
        <f>"722"</f>
        <v>722</v>
      </c>
      <c r="F123" t="s">
        <v>127</v>
      </c>
      <c r="G123" s="2">
        <v>25000</v>
      </c>
    </row>
    <row r="124" spans="1:7" ht="14.25">
      <c r="A124" t="s">
        <v>214</v>
      </c>
      <c r="B124" t="s">
        <v>2</v>
      </c>
      <c r="C124" t="s">
        <v>215</v>
      </c>
      <c r="D124" t="str">
        <f>"042"</f>
        <v>042</v>
      </c>
      <c r="E124" t="str">
        <f>"777"</f>
        <v>777</v>
      </c>
      <c r="F124" t="s">
        <v>128</v>
      </c>
      <c r="G124" s="2">
        <v>6925</v>
      </c>
    </row>
    <row r="125" spans="1:7" s="3" customFormat="1" ht="14.25">
      <c r="A125" s="3" t="s">
        <v>213</v>
      </c>
      <c r="B125" s="3" t="s">
        <v>2</v>
      </c>
      <c r="C125" s="3" t="s">
        <v>215</v>
      </c>
      <c r="D125" s="8">
        <v>70</v>
      </c>
      <c r="F125" s="3" t="s">
        <v>235</v>
      </c>
      <c r="G125" s="5">
        <f>SUM(G126:G135)</f>
        <v>180700</v>
      </c>
    </row>
    <row r="126" spans="1:7" ht="14.25">
      <c r="A126" t="s">
        <v>213</v>
      </c>
      <c r="B126" t="s">
        <v>2</v>
      </c>
      <c r="C126" t="s">
        <v>215</v>
      </c>
      <c r="D126" t="str">
        <f aca="true" t="shared" si="4" ref="D126:D135">"70"</f>
        <v>70</v>
      </c>
      <c r="E126" t="str">
        <f>"70311"</f>
        <v>70311</v>
      </c>
      <c r="F126" t="s">
        <v>174</v>
      </c>
      <c r="G126" s="2">
        <v>2500</v>
      </c>
    </row>
    <row r="127" spans="1:7" ht="14.25">
      <c r="A127" t="s">
        <v>213</v>
      </c>
      <c r="B127" t="s">
        <v>2</v>
      </c>
      <c r="C127" t="s">
        <v>215</v>
      </c>
      <c r="D127" t="str">
        <f t="shared" si="4"/>
        <v>70</v>
      </c>
      <c r="E127" t="str">
        <f>"70323"</f>
        <v>70323</v>
      </c>
      <c r="F127" t="s">
        <v>175</v>
      </c>
      <c r="G127" s="2">
        <v>4000</v>
      </c>
    </row>
    <row r="128" spans="1:7" ht="14.25">
      <c r="A128" t="s">
        <v>213</v>
      </c>
      <c r="B128" t="s">
        <v>2</v>
      </c>
      <c r="C128" t="s">
        <v>215</v>
      </c>
      <c r="D128" t="str">
        <f t="shared" si="4"/>
        <v>70</v>
      </c>
      <c r="E128" t="str">
        <f>"7062"</f>
        <v>7062</v>
      </c>
      <c r="F128" t="s">
        <v>176</v>
      </c>
      <c r="G128" s="2">
        <v>5000</v>
      </c>
    </row>
    <row r="129" spans="1:7" ht="14.25">
      <c r="A129" t="s">
        <v>213</v>
      </c>
      <c r="B129" t="s">
        <v>2</v>
      </c>
      <c r="C129" t="s">
        <v>215</v>
      </c>
      <c r="D129" t="str">
        <f t="shared" si="4"/>
        <v>70</v>
      </c>
      <c r="E129" t="str">
        <f>"70632"</f>
        <v>70632</v>
      </c>
      <c r="F129" t="s">
        <v>177</v>
      </c>
      <c r="G129" s="2">
        <v>1000</v>
      </c>
    </row>
    <row r="130" spans="1:7" ht="14.25">
      <c r="A130" t="s">
        <v>213</v>
      </c>
      <c r="B130" t="s">
        <v>2</v>
      </c>
      <c r="C130" t="s">
        <v>215</v>
      </c>
      <c r="D130" t="str">
        <f t="shared" si="4"/>
        <v>70</v>
      </c>
      <c r="E130" t="str">
        <f>"7067"</f>
        <v>7067</v>
      </c>
      <c r="F130" t="s">
        <v>178</v>
      </c>
      <c r="G130" s="2">
        <v>125400</v>
      </c>
    </row>
    <row r="131" spans="1:7" ht="14.25">
      <c r="A131" t="s">
        <v>213</v>
      </c>
      <c r="B131" t="s">
        <v>2</v>
      </c>
      <c r="C131" t="s">
        <v>215</v>
      </c>
      <c r="D131" t="str">
        <f t="shared" si="4"/>
        <v>70</v>
      </c>
      <c r="E131" t="str">
        <f>"7083"</f>
        <v>7083</v>
      </c>
      <c r="F131" t="s">
        <v>179</v>
      </c>
      <c r="G131" s="2">
        <v>300</v>
      </c>
    </row>
    <row r="132" spans="1:7" ht="14.25">
      <c r="A132" t="s">
        <v>213</v>
      </c>
      <c r="B132" t="s">
        <v>2</v>
      </c>
      <c r="C132" t="s">
        <v>215</v>
      </c>
      <c r="D132" t="str">
        <f t="shared" si="4"/>
        <v>70</v>
      </c>
      <c r="E132" t="str">
        <f>"70848"</f>
        <v>70848</v>
      </c>
      <c r="F132" t="s">
        <v>180</v>
      </c>
      <c r="G132" s="2">
        <v>34000</v>
      </c>
    </row>
    <row r="133" spans="1:7" ht="14.25">
      <c r="A133" t="s">
        <v>213</v>
      </c>
      <c r="B133" t="s">
        <v>2</v>
      </c>
      <c r="C133" t="s">
        <v>215</v>
      </c>
      <c r="D133" t="str">
        <f t="shared" si="4"/>
        <v>70</v>
      </c>
      <c r="E133" t="str">
        <f>"70873"</f>
        <v>70873</v>
      </c>
      <c r="F133" t="s">
        <v>181</v>
      </c>
      <c r="G133" s="2">
        <v>1500</v>
      </c>
    </row>
    <row r="134" spans="1:7" ht="14.25">
      <c r="A134" t="s">
        <v>213</v>
      </c>
      <c r="B134" t="s">
        <v>2</v>
      </c>
      <c r="C134" t="s">
        <v>215</v>
      </c>
      <c r="D134" t="str">
        <f t="shared" si="4"/>
        <v>70</v>
      </c>
      <c r="E134" t="str">
        <f>"70878"</f>
        <v>70878</v>
      </c>
      <c r="F134" t="s">
        <v>182</v>
      </c>
      <c r="G134" s="2">
        <v>7000</v>
      </c>
    </row>
    <row r="135" spans="1:7" ht="14.25">
      <c r="A135" t="s">
        <v>213</v>
      </c>
      <c r="B135" t="s">
        <v>2</v>
      </c>
      <c r="C135" t="s">
        <v>215</v>
      </c>
      <c r="D135" t="str">
        <f t="shared" si="4"/>
        <v>70</v>
      </c>
      <c r="E135" t="str">
        <f>"7088"</f>
        <v>7088</v>
      </c>
      <c r="F135" t="s">
        <v>183</v>
      </c>
      <c r="G135" s="2">
        <v>0</v>
      </c>
    </row>
    <row r="136" spans="1:7" s="3" customFormat="1" ht="14.25">
      <c r="A136" s="3" t="s">
        <v>213</v>
      </c>
      <c r="B136" s="3" t="s">
        <v>2</v>
      </c>
      <c r="C136" s="3" t="s">
        <v>215</v>
      </c>
      <c r="D136" s="8">
        <v>73</v>
      </c>
      <c r="F136" s="3" t="s">
        <v>236</v>
      </c>
      <c r="G136" s="5">
        <f>SUM(G137:G143)</f>
        <v>5790275</v>
      </c>
    </row>
    <row r="137" spans="1:7" ht="14.25">
      <c r="A137" t="s">
        <v>213</v>
      </c>
      <c r="B137" t="s">
        <v>2</v>
      </c>
      <c r="C137" t="s">
        <v>215</v>
      </c>
      <c r="D137" t="str">
        <f aca="true" t="shared" si="5" ref="D137:D143">"73"</f>
        <v>73</v>
      </c>
      <c r="E137" t="str">
        <f>"73111"</f>
        <v>73111</v>
      </c>
      <c r="F137" t="s">
        <v>184</v>
      </c>
      <c r="G137" s="2">
        <v>3856338</v>
      </c>
    </row>
    <row r="138" spans="1:7" ht="14.25">
      <c r="A138" t="s">
        <v>213</v>
      </c>
      <c r="B138" t="s">
        <v>2</v>
      </c>
      <c r="C138" t="s">
        <v>215</v>
      </c>
      <c r="D138" t="str">
        <f t="shared" si="5"/>
        <v>73</v>
      </c>
      <c r="E138" t="str">
        <f>"73211"</f>
        <v>73211</v>
      </c>
      <c r="F138" t="s">
        <v>185</v>
      </c>
      <c r="G138" s="2">
        <v>1261000</v>
      </c>
    </row>
    <row r="139" spans="1:7" ht="14.25">
      <c r="A139" t="s">
        <v>213</v>
      </c>
      <c r="B139" t="s">
        <v>2</v>
      </c>
      <c r="C139" t="s">
        <v>215</v>
      </c>
      <c r="D139" t="str">
        <f t="shared" si="5"/>
        <v>73</v>
      </c>
      <c r="E139" t="str">
        <f>"73212"</f>
        <v>73212</v>
      </c>
      <c r="F139" t="s">
        <v>186</v>
      </c>
      <c r="G139" s="2">
        <v>300000</v>
      </c>
    </row>
    <row r="140" spans="1:7" ht="14.25">
      <c r="A140" t="s">
        <v>213</v>
      </c>
      <c r="B140" t="s">
        <v>2</v>
      </c>
      <c r="C140" t="s">
        <v>215</v>
      </c>
      <c r="D140" t="str">
        <f t="shared" si="5"/>
        <v>73</v>
      </c>
      <c r="E140" t="str">
        <f>"73221"</f>
        <v>73221</v>
      </c>
      <c r="F140" t="s">
        <v>187</v>
      </c>
      <c r="G140" s="2">
        <v>22737</v>
      </c>
    </row>
    <row r="141" spans="1:7" ht="14.25">
      <c r="A141" t="s">
        <v>213</v>
      </c>
      <c r="B141" t="s">
        <v>2</v>
      </c>
      <c r="C141" t="s">
        <v>215</v>
      </c>
      <c r="D141" t="str">
        <f t="shared" si="5"/>
        <v>73</v>
      </c>
      <c r="E141" t="str">
        <f>"7338"</f>
        <v>7338</v>
      </c>
      <c r="F141" t="s">
        <v>188</v>
      </c>
      <c r="G141" s="2">
        <v>200</v>
      </c>
    </row>
    <row r="142" spans="1:7" ht="14.25">
      <c r="A142" t="s">
        <v>213</v>
      </c>
      <c r="B142" t="s">
        <v>2</v>
      </c>
      <c r="C142" t="s">
        <v>215</v>
      </c>
      <c r="D142" t="str">
        <f t="shared" si="5"/>
        <v>73</v>
      </c>
      <c r="E142" t="str">
        <f>"7368"</f>
        <v>7368</v>
      </c>
      <c r="F142" t="s">
        <v>189</v>
      </c>
      <c r="G142" s="2">
        <v>250000</v>
      </c>
    </row>
    <row r="143" spans="1:7" ht="14.25">
      <c r="A143" t="s">
        <v>213</v>
      </c>
      <c r="B143" t="s">
        <v>2</v>
      </c>
      <c r="C143" t="s">
        <v>215</v>
      </c>
      <c r="D143" t="str">
        <f t="shared" si="5"/>
        <v>73</v>
      </c>
      <c r="E143" t="str">
        <f>"7381"</f>
        <v>7381</v>
      </c>
      <c r="F143" t="s">
        <v>190</v>
      </c>
      <c r="G143" s="2">
        <v>100000</v>
      </c>
    </row>
    <row r="144" spans="1:7" s="3" customFormat="1" ht="14.25">
      <c r="A144" s="3" t="s">
        <v>213</v>
      </c>
      <c r="B144" s="3" t="s">
        <v>2</v>
      </c>
      <c r="C144" s="3" t="s">
        <v>215</v>
      </c>
      <c r="D144" s="8">
        <v>74</v>
      </c>
      <c r="F144" s="3" t="s">
        <v>237</v>
      </c>
      <c r="G144" s="5">
        <f>SUM(G145:G155)</f>
        <v>354320</v>
      </c>
    </row>
    <row r="145" spans="1:7" ht="14.25">
      <c r="A145" t="s">
        <v>213</v>
      </c>
      <c r="B145" t="s">
        <v>2</v>
      </c>
      <c r="C145" t="s">
        <v>215</v>
      </c>
      <c r="D145" t="str">
        <f aca="true" t="shared" si="6" ref="D145:D155">"74"</f>
        <v>74</v>
      </c>
      <c r="E145" t="str">
        <f>"7411"</f>
        <v>7411</v>
      </c>
      <c r="F145" t="s">
        <v>191</v>
      </c>
      <c r="G145" s="2">
        <v>6389</v>
      </c>
    </row>
    <row r="146" spans="1:7" ht="14.25">
      <c r="A146" t="s">
        <v>213</v>
      </c>
      <c r="B146" t="s">
        <v>2</v>
      </c>
      <c r="C146" t="s">
        <v>215</v>
      </c>
      <c r="D146" t="str">
        <f t="shared" si="6"/>
        <v>74</v>
      </c>
      <c r="E146" t="str">
        <f>"74121"</f>
        <v>74121</v>
      </c>
      <c r="F146" t="s">
        <v>192</v>
      </c>
      <c r="G146" s="2">
        <v>78083</v>
      </c>
    </row>
    <row r="147" spans="1:7" ht="14.25">
      <c r="A147" t="s">
        <v>213</v>
      </c>
      <c r="B147" t="s">
        <v>2</v>
      </c>
      <c r="C147" t="s">
        <v>215</v>
      </c>
      <c r="D147" t="str">
        <f t="shared" si="6"/>
        <v>74</v>
      </c>
      <c r="E147" t="str">
        <f>"744"</f>
        <v>744</v>
      </c>
      <c r="F147" t="s">
        <v>129</v>
      </c>
      <c r="G147" s="2">
        <v>10000</v>
      </c>
    </row>
    <row r="148" spans="1:7" ht="14.25">
      <c r="A148" t="s">
        <v>213</v>
      </c>
      <c r="B148" t="s">
        <v>2</v>
      </c>
      <c r="C148" t="s">
        <v>215</v>
      </c>
      <c r="D148" t="str">
        <f t="shared" si="6"/>
        <v>74</v>
      </c>
      <c r="E148" t="str">
        <f>"74718"</f>
        <v>74718</v>
      </c>
      <c r="F148" t="s">
        <v>193</v>
      </c>
      <c r="G148" s="2">
        <v>25200</v>
      </c>
    </row>
    <row r="149" spans="1:7" ht="14.25">
      <c r="A149" t="s">
        <v>213</v>
      </c>
      <c r="B149" t="s">
        <v>2</v>
      </c>
      <c r="C149" t="s">
        <v>215</v>
      </c>
      <c r="D149" t="str">
        <f t="shared" si="6"/>
        <v>74</v>
      </c>
      <c r="E149" t="str">
        <f>"7472"</f>
        <v>7472</v>
      </c>
      <c r="F149" t="s">
        <v>194</v>
      </c>
      <c r="G149" s="2">
        <v>2000</v>
      </c>
    </row>
    <row r="150" spans="1:7" ht="14.25">
      <c r="A150" t="s">
        <v>213</v>
      </c>
      <c r="B150" t="s">
        <v>2</v>
      </c>
      <c r="C150" t="s">
        <v>215</v>
      </c>
      <c r="D150" t="str">
        <f t="shared" si="6"/>
        <v>74</v>
      </c>
      <c r="E150" t="str">
        <f>"7473"</f>
        <v>7473</v>
      </c>
      <c r="F150" t="s">
        <v>195</v>
      </c>
      <c r="G150" s="2">
        <v>2500</v>
      </c>
    </row>
    <row r="151" spans="1:7" ht="14.25">
      <c r="A151" t="s">
        <v>213</v>
      </c>
      <c r="B151" t="s">
        <v>2</v>
      </c>
      <c r="C151" t="s">
        <v>215</v>
      </c>
      <c r="D151" t="str">
        <f t="shared" si="6"/>
        <v>74</v>
      </c>
      <c r="E151" t="str">
        <f>"74751"</f>
        <v>74751</v>
      </c>
      <c r="F151" t="s">
        <v>196</v>
      </c>
      <c r="G151" s="2">
        <v>70000</v>
      </c>
    </row>
    <row r="152" spans="1:7" ht="14.25">
      <c r="A152" t="s">
        <v>213</v>
      </c>
      <c r="B152" t="s">
        <v>2</v>
      </c>
      <c r="C152" t="s">
        <v>215</v>
      </c>
      <c r="D152" t="str">
        <f t="shared" si="6"/>
        <v>74</v>
      </c>
      <c r="E152" t="str">
        <f>"7478"</f>
        <v>7478</v>
      </c>
      <c r="F152" t="s">
        <v>197</v>
      </c>
      <c r="G152" s="2">
        <v>72500</v>
      </c>
    </row>
    <row r="153" spans="1:7" ht="14.25">
      <c r="A153" t="s">
        <v>213</v>
      </c>
      <c r="B153" t="s">
        <v>2</v>
      </c>
      <c r="C153" t="s">
        <v>215</v>
      </c>
      <c r="D153" t="str">
        <f t="shared" si="6"/>
        <v>74</v>
      </c>
      <c r="E153" t="str">
        <f>"74834"</f>
        <v>74834</v>
      </c>
      <c r="F153" t="s">
        <v>198</v>
      </c>
      <c r="G153" s="2">
        <v>19714</v>
      </c>
    </row>
    <row r="154" spans="1:7" ht="14.25">
      <c r="A154" t="s">
        <v>213</v>
      </c>
      <c r="B154" t="s">
        <v>2</v>
      </c>
      <c r="C154" t="s">
        <v>215</v>
      </c>
      <c r="D154" t="str">
        <f t="shared" si="6"/>
        <v>74</v>
      </c>
      <c r="E154" t="str">
        <f>"74835"</f>
        <v>74835</v>
      </c>
      <c r="F154" t="s">
        <v>199</v>
      </c>
      <c r="G154" s="2">
        <v>59434</v>
      </c>
    </row>
    <row r="155" spans="1:7" ht="14.25">
      <c r="A155" t="s">
        <v>213</v>
      </c>
      <c r="B155" t="s">
        <v>2</v>
      </c>
      <c r="C155" t="s">
        <v>215</v>
      </c>
      <c r="D155" t="str">
        <f t="shared" si="6"/>
        <v>74</v>
      </c>
      <c r="E155" t="str">
        <f>"7485"</f>
        <v>7485</v>
      </c>
      <c r="F155" t="s">
        <v>200</v>
      </c>
      <c r="G155" s="2">
        <v>8500</v>
      </c>
    </row>
    <row r="156" spans="1:7" s="3" customFormat="1" ht="14.25">
      <c r="A156" s="3" t="s">
        <v>213</v>
      </c>
      <c r="B156" s="3" t="s">
        <v>2</v>
      </c>
      <c r="C156" s="3" t="s">
        <v>215</v>
      </c>
      <c r="D156" s="8">
        <v>75</v>
      </c>
      <c r="F156" s="3" t="s">
        <v>238</v>
      </c>
      <c r="G156" s="5">
        <f>SUM(G157:G158)</f>
        <v>41500</v>
      </c>
    </row>
    <row r="157" spans="1:7" ht="14.25">
      <c r="A157" t="s">
        <v>213</v>
      </c>
      <c r="B157" t="s">
        <v>2</v>
      </c>
      <c r="C157" t="s">
        <v>215</v>
      </c>
      <c r="D157" t="str">
        <f>"75"</f>
        <v>75</v>
      </c>
      <c r="E157" t="str">
        <f>"752"</f>
        <v>752</v>
      </c>
      <c r="F157" t="s">
        <v>201</v>
      </c>
      <c r="G157" s="2">
        <v>41000</v>
      </c>
    </row>
    <row r="158" spans="1:7" ht="14.25">
      <c r="A158" t="s">
        <v>213</v>
      </c>
      <c r="B158" t="s">
        <v>2</v>
      </c>
      <c r="C158" t="s">
        <v>215</v>
      </c>
      <c r="D158" t="str">
        <f>"75"</f>
        <v>75</v>
      </c>
      <c r="E158" t="str">
        <f>"7588"</f>
        <v>7588</v>
      </c>
      <c r="F158" t="s">
        <v>202</v>
      </c>
      <c r="G158" s="2">
        <v>500</v>
      </c>
    </row>
    <row r="159" spans="1:7" s="3" customFormat="1" ht="14.25">
      <c r="A159" s="3" t="s">
        <v>213</v>
      </c>
      <c r="B159" s="3" t="s">
        <v>2</v>
      </c>
      <c r="C159" s="3" t="s">
        <v>215</v>
      </c>
      <c r="D159" s="8">
        <v>76</v>
      </c>
      <c r="F159" s="3" t="s">
        <v>239</v>
      </c>
      <c r="G159" s="5">
        <f>SUM(G160:G161)</f>
        <v>4130</v>
      </c>
    </row>
    <row r="160" spans="1:7" ht="14.25">
      <c r="A160" t="s">
        <v>213</v>
      </c>
      <c r="B160" t="s">
        <v>2</v>
      </c>
      <c r="C160" t="s">
        <v>215</v>
      </c>
      <c r="D160" t="str">
        <f>"76"</f>
        <v>76</v>
      </c>
      <c r="E160" t="str">
        <f>"761"</f>
        <v>761</v>
      </c>
      <c r="F160" t="s">
        <v>203</v>
      </c>
      <c r="G160" s="2">
        <v>0</v>
      </c>
    </row>
    <row r="161" spans="1:7" ht="14.25">
      <c r="A161" t="s">
        <v>213</v>
      </c>
      <c r="B161" t="s">
        <v>2</v>
      </c>
      <c r="C161" t="s">
        <v>215</v>
      </c>
      <c r="D161" t="str">
        <f>"76"</f>
        <v>76</v>
      </c>
      <c r="E161" t="str">
        <f>"7688"</f>
        <v>7688</v>
      </c>
      <c r="F161" t="s">
        <v>167</v>
      </c>
      <c r="G161" s="2">
        <v>4130</v>
      </c>
    </row>
    <row r="162" spans="1:7" s="3" customFormat="1" ht="14.25">
      <c r="A162" s="3" t="s">
        <v>213</v>
      </c>
      <c r="B162" s="3" t="s">
        <v>2</v>
      </c>
      <c r="C162" s="3" t="s">
        <v>215</v>
      </c>
      <c r="D162" s="8">
        <v>77</v>
      </c>
      <c r="F162" s="3" t="s">
        <v>240</v>
      </c>
      <c r="G162" s="5">
        <f>SUM(G164:G165)</f>
        <v>10000</v>
      </c>
    </row>
    <row r="163" spans="1:7" ht="14.25">
      <c r="A163" t="s">
        <v>213</v>
      </c>
      <c r="B163" t="s">
        <v>2</v>
      </c>
      <c r="C163" t="s">
        <v>215</v>
      </c>
      <c r="D163" t="str">
        <f>"77"</f>
        <v>77</v>
      </c>
      <c r="E163" t="str">
        <f>"7718"</f>
        <v>7718</v>
      </c>
      <c r="F163" t="s">
        <v>204</v>
      </c>
      <c r="G163" s="2">
        <v>0</v>
      </c>
    </row>
    <row r="164" spans="1:7" ht="14.25">
      <c r="A164" t="s">
        <v>213</v>
      </c>
      <c r="B164" t="s">
        <v>2</v>
      </c>
      <c r="C164" t="s">
        <v>215</v>
      </c>
      <c r="D164" t="str">
        <f>"77"</f>
        <v>77</v>
      </c>
      <c r="E164" t="str">
        <f>"773"</f>
        <v>773</v>
      </c>
      <c r="F164" t="s">
        <v>205</v>
      </c>
      <c r="G164" s="2">
        <v>0</v>
      </c>
    </row>
    <row r="165" spans="1:8" ht="14.25">
      <c r="A165" t="s">
        <v>213</v>
      </c>
      <c r="B165" t="s">
        <v>2</v>
      </c>
      <c r="C165" t="s">
        <v>215</v>
      </c>
      <c r="D165" t="str">
        <f>"77"</f>
        <v>77</v>
      </c>
      <c r="E165" t="str">
        <f>"7788"</f>
        <v>7788</v>
      </c>
      <c r="F165" t="s">
        <v>206</v>
      </c>
      <c r="G165" s="2">
        <v>10000</v>
      </c>
      <c r="H165" s="2"/>
    </row>
    <row r="166" spans="1:7" s="3" customFormat="1" ht="14.25">
      <c r="A166" s="3" t="s">
        <v>213</v>
      </c>
      <c r="B166" s="3" t="s">
        <v>0</v>
      </c>
      <c r="C166" s="3" t="s">
        <v>216</v>
      </c>
      <c r="D166" s="9" t="s">
        <v>241</v>
      </c>
      <c r="F166" s="3" t="s">
        <v>1</v>
      </c>
      <c r="G166" s="5">
        <f>G167</f>
        <v>553983.38</v>
      </c>
    </row>
    <row r="167" spans="1:7" ht="14.25">
      <c r="A167" t="s">
        <v>213</v>
      </c>
      <c r="B167" t="s">
        <v>0</v>
      </c>
      <c r="C167" t="s">
        <v>216</v>
      </c>
      <c r="D167" t="str">
        <f>"001"</f>
        <v>001</v>
      </c>
      <c r="E167" t="str">
        <f>"001"</f>
        <v>001</v>
      </c>
      <c r="F167" t="s">
        <v>1</v>
      </c>
      <c r="G167" s="2">
        <v>553983.38</v>
      </c>
    </row>
    <row r="168" spans="1:7" s="3" customFormat="1" ht="14.25">
      <c r="A168" s="3" t="s">
        <v>214</v>
      </c>
      <c r="B168" s="3" t="s">
        <v>0</v>
      </c>
      <c r="C168" s="3" t="s">
        <v>216</v>
      </c>
      <c r="D168" s="9" t="s">
        <v>242</v>
      </c>
      <c r="F168" s="3" t="s">
        <v>226</v>
      </c>
      <c r="G168" s="5">
        <f>SUM(G169:G174)</f>
        <v>31925</v>
      </c>
    </row>
    <row r="169" spans="1:7" ht="14.25">
      <c r="A169" t="s">
        <v>214</v>
      </c>
      <c r="B169" t="s">
        <v>0</v>
      </c>
      <c r="C169" t="s">
        <v>216</v>
      </c>
      <c r="D169" t="str">
        <f>"040"</f>
        <v>040</v>
      </c>
      <c r="E169" t="str">
        <f>"13911"</f>
        <v>13911</v>
      </c>
      <c r="F169" t="s">
        <v>91</v>
      </c>
      <c r="G169" s="2">
        <v>2305</v>
      </c>
    </row>
    <row r="170" spans="1:7" ht="14.25">
      <c r="A170" t="s">
        <v>214</v>
      </c>
      <c r="B170" t="s">
        <v>0</v>
      </c>
      <c r="C170" t="s">
        <v>216</v>
      </c>
      <c r="D170" t="str">
        <f>"040"</f>
        <v>040</v>
      </c>
      <c r="E170" t="str">
        <f>"13913"</f>
        <v>13913</v>
      </c>
      <c r="F170" t="s">
        <v>92</v>
      </c>
      <c r="G170" s="2">
        <v>460</v>
      </c>
    </row>
    <row r="171" spans="1:7" ht="14.25">
      <c r="A171" t="s">
        <v>214</v>
      </c>
      <c r="B171" t="s">
        <v>0</v>
      </c>
      <c r="C171" t="s">
        <v>216</v>
      </c>
      <c r="D171" t="str">
        <f>"040"</f>
        <v>040</v>
      </c>
      <c r="E171" t="str">
        <f>"139151"</f>
        <v>139151</v>
      </c>
      <c r="F171" t="s">
        <v>93</v>
      </c>
      <c r="G171" s="2">
        <v>2245</v>
      </c>
    </row>
    <row r="172" spans="1:7" ht="14.25">
      <c r="A172" t="s">
        <v>214</v>
      </c>
      <c r="B172" t="s">
        <v>0</v>
      </c>
      <c r="C172" t="s">
        <v>216</v>
      </c>
      <c r="D172" t="str">
        <f>"040"</f>
        <v>040</v>
      </c>
      <c r="E172" t="str">
        <f>"139158"</f>
        <v>139158</v>
      </c>
      <c r="F172" t="s">
        <v>94</v>
      </c>
      <c r="G172" s="2">
        <v>1025</v>
      </c>
    </row>
    <row r="173" spans="1:7" ht="14.25">
      <c r="A173" t="s">
        <v>214</v>
      </c>
      <c r="B173" t="s">
        <v>0</v>
      </c>
      <c r="C173" t="s">
        <v>216</v>
      </c>
      <c r="D173" t="str">
        <f>"040"</f>
        <v>040</v>
      </c>
      <c r="E173" t="str">
        <f>"13918"</f>
        <v>13918</v>
      </c>
      <c r="F173" t="s">
        <v>95</v>
      </c>
      <c r="G173" s="2">
        <v>890</v>
      </c>
    </row>
    <row r="174" spans="1:7" ht="14.25">
      <c r="A174" t="s">
        <v>214</v>
      </c>
      <c r="B174" t="s">
        <v>0</v>
      </c>
      <c r="C174" t="s">
        <v>216</v>
      </c>
      <c r="D174" t="str">
        <f>"040"</f>
        <v>040</v>
      </c>
      <c r="E174" t="str">
        <f>"21318"</f>
        <v>21318</v>
      </c>
      <c r="F174" t="s">
        <v>96</v>
      </c>
      <c r="G174" s="2">
        <v>25000</v>
      </c>
    </row>
    <row r="175" spans="1:7" s="3" customFormat="1" ht="14.25">
      <c r="A175" s="3" t="s">
        <v>214</v>
      </c>
      <c r="B175" s="3" t="s">
        <v>0</v>
      </c>
      <c r="C175" s="3" t="s">
        <v>216</v>
      </c>
      <c r="D175" s="9" t="s">
        <v>243</v>
      </c>
      <c r="F175" s="3" t="s">
        <v>244</v>
      </c>
      <c r="G175" s="5">
        <f>SUM(G176:G181)</f>
        <v>211120</v>
      </c>
    </row>
    <row r="176" spans="1:7" ht="14.25">
      <c r="A176" t="s">
        <v>214</v>
      </c>
      <c r="B176" t="s">
        <v>0</v>
      </c>
      <c r="C176" t="s">
        <v>216</v>
      </c>
      <c r="D176" t="str">
        <f>"041"</f>
        <v>041</v>
      </c>
      <c r="E176" t="str">
        <f>"21312"</f>
        <v>21312</v>
      </c>
      <c r="F176" t="s">
        <v>122</v>
      </c>
      <c r="G176" s="2">
        <v>1095</v>
      </c>
    </row>
    <row r="177" spans="1:7" ht="14.25">
      <c r="A177" t="s">
        <v>214</v>
      </c>
      <c r="B177" t="s">
        <v>0</v>
      </c>
      <c r="C177" t="s">
        <v>216</v>
      </c>
      <c r="D177" t="str">
        <f>"041"</f>
        <v>041</v>
      </c>
      <c r="E177" t="str">
        <f>"21318"</f>
        <v>21318</v>
      </c>
      <c r="F177" t="s">
        <v>96</v>
      </c>
      <c r="G177" s="2">
        <v>132010</v>
      </c>
    </row>
    <row r="178" spans="1:7" ht="14.25">
      <c r="A178" t="s">
        <v>214</v>
      </c>
      <c r="B178" t="s">
        <v>0</v>
      </c>
      <c r="C178" t="s">
        <v>216</v>
      </c>
      <c r="D178" t="str">
        <f>"041"</f>
        <v>041</v>
      </c>
      <c r="E178" t="str">
        <f>"2151"</f>
        <v>2151</v>
      </c>
      <c r="F178" t="s">
        <v>109</v>
      </c>
      <c r="G178" s="2">
        <v>48885</v>
      </c>
    </row>
    <row r="179" spans="1:7" ht="14.25">
      <c r="A179" t="s">
        <v>214</v>
      </c>
      <c r="B179" t="s">
        <v>0</v>
      </c>
      <c r="C179" t="s">
        <v>216</v>
      </c>
      <c r="D179" t="str">
        <f>"041"</f>
        <v>041</v>
      </c>
      <c r="E179" t="str">
        <f>"2152"</f>
        <v>2152</v>
      </c>
      <c r="F179" t="s">
        <v>110</v>
      </c>
      <c r="G179" s="2">
        <v>19020</v>
      </c>
    </row>
    <row r="180" spans="1:7" ht="14.25">
      <c r="A180" t="s">
        <v>214</v>
      </c>
      <c r="B180" t="s">
        <v>0</v>
      </c>
      <c r="C180" t="s">
        <v>216</v>
      </c>
      <c r="D180" t="str">
        <f>"041"</f>
        <v>041</v>
      </c>
      <c r="E180" t="str">
        <f>"2188"</f>
        <v>2188</v>
      </c>
      <c r="F180" t="s">
        <v>123</v>
      </c>
      <c r="G180" s="2">
        <v>110</v>
      </c>
    </row>
    <row r="181" spans="1:7" ht="14.25">
      <c r="A181" t="s">
        <v>214</v>
      </c>
      <c r="B181" t="s">
        <v>0</v>
      </c>
      <c r="C181" t="s">
        <v>216</v>
      </c>
      <c r="D181" t="str">
        <f>"041"</f>
        <v>041</v>
      </c>
      <c r="E181" t="str">
        <f>"2318"</f>
        <v>2318</v>
      </c>
      <c r="F181" t="s">
        <v>124</v>
      </c>
      <c r="G181" s="2">
        <v>10000</v>
      </c>
    </row>
    <row r="182" spans="1:7" s="3" customFormat="1" ht="14.25">
      <c r="A182" s="3" t="s">
        <v>213</v>
      </c>
      <c r="B182" s="3" t="s">
        <v>0</v>
      </c>
      <c r="C182" s="3" t="s">
        <v>216</v>
      </c>
      <c r="D182" s="8">
        <v>16</v>
      </c>
      <c r="F182" s="3" t="s">
        <v>245</v>
      </c>
      <c r="G182" s="5">
        <f>SUM(G183:G184)</f>
        <v>135978</v>
      </c>
    </row>
    <row r="183" spans="1:7" ht="14.25">
      <c r="A183" t="s">
        <v>213</v>
      </c>
      <c r="B183" t="s">
        <v>0</v>
      </c>
      <c r="C183" t="s">
        <v>216</v>
      </c>
      <c r="D183" t="str">
        <f>"16"</f>
        <v>16</v>
      </c>
      <c r="E183" t="str">
        <f>"1641"</f>
        <v>1641</v>
      </c>
      <c r="F183" t="s">
        <v>135</v>
      </c>
      <c r="G183" s="2">
        <v>119000</v>
      </c>
    </row>
    <row r="184" spans="1:7" ht="14.25">
      <c r="A184" t="s">
        <v>213</v>
      </c>
      <c r="B184" t="s">
        <v>0</v>
      </c>
      <c r="C184" t="s">
        <v>216</v>
      </c>
      <c r="D184" t="str">
        <f>"16"</f>
        <v>16</v>
      </c>
      <c r="E184" t="str">
        <f>"16818"</f>
        <v>16818</v>
      </c>
      <c r="F184" t="s">
        <v>136</v>
      </c>
      <c r="G184" s="2">
        <v>16978</v>
      </c>
    </row>
    <row r="185" spans="1:7" s="3" customFormat="1" ht="14.25">
      <c r="A185" s="3" t="s">
        <v>213</v>
      </c>
      <c r="B185" s="3" t="s">
        <v>0</v>
      </c>
      <c r="C185" s="3" t="s">
        <v>216</v>
      </c>
      <c r="D185" s="8">
        <v>20</v>
      </c>
      <c r="F185" s="3" t="s">
        <v>246</v>
      </c>
      <c r="G185" s="5">
        <f>SUM(G186:G188)</f>
        <v>398361.77</v>
      </c>
    </row>
    <row r="186" spans="1:7" ht="14.25">
      <c r="A186" t="s">
        <v>213</v>
      </c>
      <c r="B186" t="s">
        <v>0</v>
      </c>
      <c r="C186" t="s">
        <v>216</v>
      </c>
      <c r="D186" t="str">
        <f>"20"</f>
        <v>20</v>
      </c>
      <c r="E186" t="str">
        <f>"2031"</f>
        <v>2031</v>
      </c>
      <c r="F186" t="s">
        <v>97</v>
      </c>
      <c r="G186" s="2">
        <v>320577.77</v>
      </c>
    </row>
    <row r="187" spans="1:7" ht="14.25">
      <c r="A187" t="s">
        <v>213</v>
      </c>
      <c r="B187" t="s">
        <v>0</v>
      </c>
      <c r="C187" t="s">
        <v>216</v>
      </c>
      <c r="D187" t="str">
        <f>"20"</f>
        <v>20</v>
      </c>
      <c r="E187" t="str">
        <f>"2033"</f>
        <v>2033</v>
      </c>
      <c r="F187" t="s">
        <v>98</v>
      </c>
      <c r="G187" s="2">
        <v>5000</v>
      </c>
    </row>
    <row r="188" spans="1:7" ht="14.25">
      <c r="A188" t="s">
        <v>213</v>
      </c>
      <c r="B188" t="s">
        <v>0</v>
      </c>
      <c r="C188" t="s">
        <v>216</v>
      </c>
      <c r="D188" t="str">
        <f>"20"</f>
        <v>20</v>
      </c>
      <c r="E188" t="str">
        <f>"2051"</f>
        <v>2051</v>
      </c>
      <c r="F188" t="s">
        <v>137</v>
      </c>
      <c r="G188" s="2">
        <v>72784</v>
      </c>
    </row>
    <row r="189" spans="1:7" s="3" customFormat="1" ht="14.25">
      <c r="A189" s="3" t="s">
        <v>213</v>
      </c>
      <c r="B189" s="3" t="s">
        <v>0</v>
      </c>
      <c r="C189" s="3" t="s">
        <v>216</v>
      </c>
      <c r="D189" s="8">
        <v>204</v>
      </c>
      <c r="F189" s="3" t="s">
        <v>248</v>
      </c>
      <c r="G189" s="5">
        <f>SUM(G190:G193)</f>
        <v>199293.32</v>
      </c>
    </row>
    <row r="190" spans="1:7" ht="14.25">
      <c r="A190" t="s">
        <v>213</v>
      </c>
      <c r="B190" t="s">
        <v>0</v>
      </c>
      <c r="C190" t="s">
        <v>216</v>
      </c>
      <c r="D190" t="str">
        <f>"204"</f>
        <v>204</v>
      </c>
      <c r="E190" t="str">
        <f>"2041511"</f>
        <v>2041511</v>
      </c>
      <c r="F190" t="s">
        <v>99</v>
      </c>
      <c r="G190" s="2">
        <v>96858.98</v>
      </c>
    </row>
    <row r="191" spans="1:7" ht="14.25">
      <c r="A191" t="s">
        <v>213</v>
      </c>
      <c r="B191" t="s">
        <v>0</v>
      </c>
      <c r="C191" t="s">
        <v>216</v>
      </c>
      <c r="D191" t="str">
        <f>"204"</f>
        <v>204</v>
      </c>
      <c r="E191" t="str">
        <f>"2041582"</f>
        <v>2041582</v>
      </c>
      <c r="F191" t="s">
        <v>138</v>
      </c>
      <c r="G191" s="2">
        <v>40619.34</v>
      </c>
    </row>
    <row r="192" spans="1:7" ht="14.25">
      <c r="A192" t="s">
        <v>213</v>
      </c>
      <c r="B192" t="s">
        <v>0</v>
      </c>
      <c r="C192" t="s">
        <v>216</v>
      </c>
      <c r="D192" t="str">
        <f>"204"</f>
        <v>204</v>
      </c>
      <c r="E192" t="str">
        <f>"204172"</f>
        <v>204172</v>
      </c>
      <c r="F192" t="s">
        <v>139</v>
      </c>
      <c r="G192" s="2">
        <v>31500</v>
      </c>
    </row>
    <row r="193" spans="1:7" ht="14.25">
      <c r="A193" t="s">
        <v>213</v>
      </c>
      <c r="B193" t="s">
        <v>0</v>
      </c>
      <c r="C193" t="s">
        <v>216</v>
      </c>
      <c r="D193" t="str">
        <f>"204"</f>
        <v>204</v>
      </c>
      <c r="E193" t="str">
        <f>"20422"</f>
        <v>20422</v>
      </c>
      <c r="F193" t="s">
        <v>103</v>
      </c>
      <c r="G193" s="2">
        <v>30315</v>
      </c>
    </row>
    <row r="194" spans="1:7" s="3" customFormat="1" ht="14.25">
      <c r="A194" s="3" t="s">
        <v>213</v>
      </c>
      <c r="B194" s="3" t="s">
        <v>0</v>
      </c>
      <c r="C194" s="3" t="s">
        <v>216</v>
      </c>
      <c r="D194" s="8">
        <v>21</v>
      </c>
      <c r="F194" s="3" t="s">
        <v>127</v>
      </c>
      <c r="G194" s="5">
        <f>SUM(G195:G212)</f>
        <v>1499023.09</v>
      </c>
    </row>
    <row r="195" spans="1:7" ht="14.25">
      <c r="A195" t="s">
        <v>213</v>
      </c>
      <c r="B195" t="s">
        <v>0</v>
      </c>
      <c r="C195" t="s">
        <v>216</v>
      </c>
      <c r="D195" t="str">
        <f aca="true" t="shared" si="7" ref="D195:D212">"21"</f>
        <v>21</v>
      </c>
      <c r="E195" t="str">
        <f>"2111"</f>
        <v>2111</v>
      </c>
      <c r="F195" t="s">
        <v>140</v>
      </c>
      <c r="G195" s="2">
        <v>51000</v>
      </c>
    </row>
    <row r="196" spans="1:7" ht="14.25">
      <c r="A196" t="s">
        <v>213</v>
      </c>
      <c r="B196" t="s">
        <v>0</v>
      </c>
      <c r="C196" t="s">
        <v>216</v>
      </c>
      <c r="D196" t="str">
        <f t="shared" si="7"/>
        <v>21</v>
      </c>
      <c r="E196" t="str">
        <f>"2112"</f>
        <v>2112</v>
      </c>
      <c r="F196" t="s">
        <v>141</v>
      </c>
      <c r="G196" s="2">
        <v>2000</v>
      </c>
    </row>
    <row r="197" spans="1:7" ht="14.25">
      <c r="A197" t="s">
        <v>213</v>
      </c>
      <c r="B197" t="s">
        <v>0</v>
      </c>
      <c r="C197" t="s">
        <v>216</v>
      </c>
      <c r="D197" t="str">
        <f t="shared" si="7"/>
        <v>21</v>
      </c>
      <c r="E197" t="str">
        <f>"2128"</f>
        <v>2128</v>
      </c>
      <c r="F197" t="s">
        <v>142</v>
      </c>
      <c r="G197" s="2">
        <v>50100</v>
      </c>
    </row>
    <row r="198" spans="1:7" ht="14.25">
      <c r="A198" t="s">
        <v>213</v>
      </c>
      <c r="B198" t="s">
        <v>0</v>
      </c>
      <c r="C198" t="s">
        <v>216</v>
      </c>
      <c r="D198" t="str">
        <f t="shared" si="7"/>
        <v>21</v>
      </c>
      <c r="E198" t="str">
        <f>"21311"</f>
        <v>21311</v>
      </c>
      <c r="F198" t="s">
        <v>143</v>
      </c>
      <c r="G198" s="2">
        <v>23000</v>
      </c>
    </row>
    <row r="199" spans="1:7" ht="14.25">
      <c r="A199" t="s">
        <v>213</v>
      </c>
      <c r="B199" t="s">
        <v>0</v>
      </c>
      <c r="C199" t="s">
        <v>216</v>
      </c>
      <c r="D199" t="str">
        <f t="shared" si="7"/>
        <v>21</v>
      </c>
      <c r="E199" t="str">
        <f>"21312"</f>
        <v>21312</v>
      </c>
      <c r="F199" t="s">
        <v>122</v>
      </c>
      <c r="G199" s="2">
        <v>9000</v>
      </c>
    </row>
    <row r="200" spans="1:7" ht="14.25">
      <c r="A200" t="s">
        <v>213</v>
      </c>
      <c r="B200" t="s">
        <v>0</v>
      </c>
      <c r="C200" t="s">
        <v>216</v>
      </c>
      <c r="D200" t="str">
        <f t="shared" si="7"/>
        <v>21</v>
      </c>
      <c r="E200" t="str">
        <f>"21316"</f>
        <v>21316</v>
      </c>
      <c r="F200" t="s">
        <v>144</v>
      </c>
      <c r="G200" s="2">
        <v>49304.8</v>
      </c>
    </row>
    <row r="201" spans="1:7" ht="14.25">
      <c r="A201" t="s">
        <v>213</v>
      </c>
      <c r="B201" t="s">
        <v>0</v>
      </c>
      <c r="C201" t="s">
        <v>216</v>
      </c>
      <c r="D201" t="str">
        <f t="shared" si="7"/>
        <v>21</v>
      </c>
      <c r="E201" t="str">
        <f>"21318"</f>
        <v>21318</v>
      </c>
      <c r="F201" t="s">
        <v>96</v>
      </c>
      <c r="G201" s="2">
        <v>105500</v>
      </c>
    </row>
    <row r="202" spans="1:7" ht="14.25">
      <c r="A202" t="s">
        <v>213</v>
      </c>
      <c r="B202" t="s">
        <v>0</v>
      </c>
      <c r="C202" t="s">
        <v>216</v>
      </c>
      <c r="D202" t="str">
        <f t="shared" si="7"/>
        <v>21</v>
      </c>
      <c r="E202" t="str">
        <f>"2135"</f>
        <v>2135</v>
      </c>
      <c r="F202" t="s">
        <v>145</v>
      </c>
      <c r="G202" s="2">
        <v>23970</v>
      </c>
    </row>
    <row r="203" spans="1:7" ht="14.25">
      <c r="A203" t="s">
        <v>213</v>
      </c>
      <c r="B203" t="s">
        <v>0</v>
      </c>
      <c r="C203" t="s">
        <v>216</v>
      </c>
      <c r="D203" t="str">
        <f t="shared" si="7"/>
        <v>21</v>
      </c>
      <c r="E203" t="str">
        <f>"2138"</f>
        <v>2138</v>
      </c>
      <c r="F203" t="s">
        <v>146</v>
      </c>
      <c r="G203" s="2">
        <v>2500</v>
      </c>
    </row>
    <row r="204" spans="1:7" ht="14.25">
      <c r="A204" t="s">
        <v>213</v>
      </c>
      <c r="B204" t="s">
        <v>0</v>
      </c>
      <c r="C204" t="s">
        <v>216</v>
      </c>
      <c r="D204" t="str">
        <f t="shared" si="7"/>
        <v>21</v>
      </c>
      <c r="E204" t="str">
        <f>"2151"</f>
        <v>2151</v>
      </c>
      <c r="F204" t="s">
        <v>109</v>
      </c>
      <c r="G204" s="2">
        <v>415437.69</v>
      </c>
    </row>
    <row r="205" spans="1:7" ht="14.25">
      <c r="A205" t="s">
        <v>213</v>
      </c>
      <c r="B205" t="s">
        <v>0</v>
      </c>
      <c r="C205" t="s">
        <v>216</v>
      </c>
      <c r="D205" t="str">
        <f t="shared" si="7"/>
        <v>21</v>
      </c>
      <c r="E205" t="str">
        <f>"2152"</f>
        <v>2152</v>
      </c>
      <c r="F205" t="s">
        <v>110</v>
      </c>
      <c r="G205" s="2">
        <v>133092.6</v>
      </c>
    </row>
    <row r="206" spans="1:7" ht="14.25">
      <c r="A206" t="s">
        <v>213</v>
      </c>
      <c r="B206" t="s">
        <v>0</v>
      </c>
      <c r="C206" t="s">
        <v>216</v>
      </c>
      <c r="D206" t="str">
        <f t="shared" si="7"/>
        <v>21</v>
      </c>
      <c r="E206" t="str">
        <f>"21534"</f>
        <v>21534</v>
      </c>
      <c r="F206" t="s">
        <v>147</v>
      </c>
      <c r="G206" s="2">
        <v>25000</v>
      </c>
    </row>
    <row r="207" spans="1:7" ht="14.25">
      <c r="A207" t="s">
        <v>213</v>
      </c>
      <c r="B207" t="s">
        <v>0</v>
      </c>
      <c r="C207" t="s">
        <v>216</v>
      </c>
      <c r="D207" t="str">
        <f t="shared" si="7"/>
        <v>21</v>
      </c>
      <c r="E207" t="str">
        <f>"21538"</f>
        <v>21538</v>
      </c>
      <c r="F207" t="s">
        <v>114</v>
      </c>
      <c r="G207" s="2">
        <v>169081.14</v>
      </c>
    </row>
    <row r="208" spans="1:7" ht="14.25">
      <c r="A208" t="s">
        <v>213</v>
      </c>
      <c r="B208" t="s">
        <v>0</v>
      </c>
      <c r="C208" t="s">
        <v>216</v>
      </c>
      <c r="D208" t="str">
        <f t="shared" si="7"/>
        <v>21</v>
      </c>
      <c r="E208" t="str">
        <f>"2158"</f>
        <v>2158</v>
      </c>
      <c r="F208" t="s">
        <v>148</v>
      </c>
      <c r="G208" s="2">
        <v>51300</v>
      </c>
    </row>
    <row r="209" spans="1:7" ht="14.25">
      <c r="A209" t="s">
        <v>213</v>
      </c>
      <c r="B209" t="s">
        <v>0</v>
      </c>
      <c r="C209" t="s">
        <v>216</v>
      </c>
      <c r="D209" t="str">
        <f t="shared" si="7"/>
        <v>21</v>
      </c>
      <c r="E209" t="str">
        <f>"2182"</f>
        <v>2182</v>
      </c>
      <c r="F209" t="s">
        <v>118</v>
      </c>
      <c r="G209" s="2">
        <v>184000</v>
      </c>
    </row>
    <row r="210" spans="1:7" ht="14.25">
      <c r="A210" t="s">
        <v>213</v>
      </c>
      <c r="B210" t="s">
        <v>0</v>
      </c>
      <c r="C210" t="s">
        <v>216</v>
      </c>
      <c r="D210" t="str">
        <f t="shared" si="7"/>
        <v>21</v>
      </c>
      <c r="E210" t="str">
        <f>"2183"</f>
        <v>2183</v>
      </c>
      <c r="F210" t="s">
        <v>119</v>
      </c>
      <c r="G210" s="2">
        <v>64595.52</v>
      </c>
    </row>
    <row r="211" spans="1:7" ht="14.25">
      <c r="A211" t="s">
        <v>213</v>
      </c>
      <c r="B211" t="s">
        <v>0</v>
      </c>
      <c r="C211" t="s">
        <v>216</v>
      </c>
      <c r="D211" t="str">
        <f t="shared" si="7"/>
        <v>21</v>
      </c>
      <c r="E211" t="str">
        <f>"2184"</f>
        <v>2184</v>
      </c>
      <c r="F211" t="s">
        <v>120</v>
      </c>
      <c r="G211" s="2">
        <v>32025</v>
      </c>
    </row>
    <row r="212" spans="1:7" ht="14.25">
      <c r="A212" t="s">
        <v>213</v>
      </c>
      <c r="B212" t="s">
        <v>0</v>
      </c>
      <c r="C212" t="s">
        <v>216</v>
      </c>
      <c r="D212" t="str">
        <f t="shared" si="7"/>
        <v>21</v>
      </c>
      <c r="E212" t="str">
        <f>"2188"</f>
        <v>2188</v>
      </c>
      <c r="F212" t="s">
        <v>123</v>
      </c>
      <c r="G212" s="2">
        <v>108116.34</v>
      </c>
    </row>
    <row r="213" spans="1:7" s="3" customFormat="1" ht="14.25">
      <c r="A213" s="3" t="s">
        <v>213</v>
      </c>
      <c r="B213" s="3" t="s">
        <v>0</v>
      </c>
      <c r="C213" s="3" t="s">
        <v>216</v>
      </c>
      <c r="D213" s="8">
        <v>23</v>
      </c>
      <c r="F213" s="3" t="s">
        <v>249</v>
      </c>
      <c r="G213" s="5">
        <f>SUM(G214:G216)</f>
        <v>2641041.7800000003</v>
      </c>
    </row>
    <row r="214" spans="1:7" ht="14.25">
      <c r="A214" t="s">
        <v>213</v>
      </c>
      <c r="B214" t="s">
        <v>0</v>
      </c>
      <c r="C214" t="s">
        <v>216</v>
      </c>
      <c r="D214" t="str">
        <f>"23"</f>
        <v>23</v>
      </c>
      <c r="E214" t="str">
        <f>"2313"</f>
        <v>2313</v>
      </c>
      <c r="F214" t="s">
        <v>149</v>
      </c>
      <c r="G214" s="2">
        <v>1920660.35</v>
      </c>
    </row>
    <row r="215" spans="1:7" ht="14.25">
      <c r="A215" t="s">
        <v>213</v>
      </c>
      <c r="B215" t="s">
        <v>0</v>
      </c>
      <c r="C215" t="s">
        <v>216</v>
      </c>
      <c r="D215" t="str">
        <f>"23"</f>
        <v>23</v>
      </c>
      <c r="E215" t="str">
        <f>"2315"</f>
        <v>2315</v>
      </c>
      <c r="F215" t="s">
        <v>150</v>
      </c>
      <c r="G215" s="2">
        <v>710381.43</v>
      </c>
    </row>
    <row r="216" spans="1:7" ht="14.25">
      <c r="A216" t="s">
        <v>213</v>
      </c>
      <c r="B216" t="s">
        <v>0</v>
      </c>
      <c r="C216" t="s">
        <v>216</v>
      </c>
      <c r="D216" t="str">
        <f>"23"</f>
        <v>23</v>
      </c>
      <c r="E216" t="str">
        <f>"238"</f>
        <v>238</v>
      </c>
      <c r="F216" t="s">
        <v>125</v>
      </c>
      <c r="G216" s="2">
        <v>10000</v>
      </c>
    </row>
    <row r="217" spans="1:7" s="3" customFormat="1" ht="14.25">
      <c r="A217" s="3" t="s">
        <v>213</v>
      </c>
      <c r="B217" s="3" t="s">
        <v>0</v>
      </c>
      <c r="C217" s="3" t="s">
        <v>216</v>
      </c>
      <c r="D217" s="8">
        <v>4581</v>
      </c>
      <c r="F217" s="3" t="s">
        <v>250</v>
      </c>
      <c r="G217" s="5">
        <f>SUM(G218:G220)</f>
        <v>80349.61</v>
      </c>
    </row>
    <row r="218" spans="1:7" ht="14.25">
      <c r="A218" t="s">
        <v>213</v>
      </c>
      <c r="B218" t="s">
        <v>0</v>
      </c>
      <c r="C218" t="s">
        <v>216</v>
      </c>
      <c r="D218" t="str">
        <f>"4581"</f>
        <v>4581</v>
      </c>
      <c r="E218" t="str">
        <f>"458125"</f>
        <v>458125</v>
      </c>
      <c r="F218" t="s">
        <v>152</v>
      </c>
      <c r="G218" s="2">
        <v>18873.15</v>
      </c>
    </row>
    <row r="219" spans="1:7" ht="14.25">
      <c r="A219" t="s">
        <v>213</v>
      </c>
      <c r="B219" t="s">
        <v>0</v>
      </c>
      <c r="C219" t="s">
        <v>216</v>
      </c>
      <c r="D219" t="str">
        <f>"4581"</f>
        <v>4581</v>
      </c>
      <c r="E219" t="str">
        <f>"458127"</f>
        <v>458127</v>
      </c>
      <c r="F219" t="s">
        <v>153</v>
      </c>
      <c r="G219" s="2">
        <v>49956.46</v>
      </c>
    </row>
    <row r="220" spans="1:8" ht="14.25">
      <c r="A220" t="s">
        <v>213</v>
      </c>
      <c r="B220" t="s">
        <v>0</v>
      </c>
      <c r="C220" t="s">
        <v>216</v>
      </c>
      <c r="D220" t="str">
        <f>"4581"</f>
        <v>4581</v>
      </c>
      <c r="E220" t="str">
        <f>"458128"</f>
        <v>458128</v>
      </c>
      <c r="F220" t="s">
        <v>154</v>
      </c>
      <c r="G220" s="2">
        <v>11520</v>
      </c>
      <c r="H220" s="2"/>
    </row>
    <row r="221" spans="1:7" s="3" customFormat="1" ht="14.25">
      <c r="A221" s="3" t="s">
        <v>214</v>
      </c>
      <c r="B221" s="3" t="s">
        <v>2</v>
      </c>
      <c r="C221" s="3" t="s">
        <v>216</v>
      </c>
      <c r="D221" s="9" t="s">
        <v>251</v>
      </c>
      <c r="F221" s="3" t="s">
        <v>87</v>
      </c>
      <c r="G221" s="5">
        <f>G222</f>
        <v>2415000</v>
      </c>
    </row>
    <row r="222" spans="1:7" ht="14.25">
      <c r="A222" t="s">
        <v>214</v>
      </c>
      <c r="B222" t="s">
        <v>2</v>
      </c>
      <c r="C222" t="s">
        <v>216</v>
      </c>
      <c r="D222" t="str">
        <f>"021"</f>
        <v>021</v>
      </c>
      <c r="E222" t="str">
        <f>"021"</f>
        <v>021</v>
      </c>
      <c r="F222" t="s">
        <v>87</v>
      </c>
      <c r="G222" s="2">
        <v>2415000</v>
      </c>
    </row>
    <row r="223" spans="1:7" s="3" customFormat="1" ht="14.25">
      <c r="A223" s="3" t="s">
        <v>213</v>
      </c>
      <c r="B223" s="3" t="s">
        <v>2</v>
      </c>
      <c r="C223" s="3" t="s">
        <v>216</v>
      </c>
      <c r="D223" s="9" t="s">
        <v>252</v>
      </c>
      <c r="F223" s="3" t="s">
        <v>90</v>
      </c>
      <c r="G223" s="5">
        <f>G224</f>
        <v>10000</v>
      </c>
    </row>
    <row r="224" spans="1:7" ht="14.25">
      <c r="A224" t="s">
        <v>213</v>
      </c>
      <c r="B224" t="s">
        <v>2</v>
      </c>
      <c r="C224" t="s">
        <v>216</v>
      </c>
      <c r="D224" t="str">
        <f>"024"</f>
        <v>024</v>
      </c>
      <c r="E224" t="str">
        <f>"024"</f>
        <v>024</v>
      </c>
      <c r="F224" t="s">
        <v>90</v>
      </c>
      <c r="G224" s="2">
        <v>10000</v>
      </c>
    </row>
    <row r="225" spans="1:7" s="3" customFormat="1" ht="14.25">
      <c r="A225" s="3" t="s">
        <v>214</v>
      </c>
      <c r="B225" s="3" t="s">
        <v>2</v>
      </c>
      <c r="C225" s="3" t="s">
        <v>216</v>
      </c>
      <c r="D225" s="9" t="s">
        <v>242</v>
      </c>
      <c r="F225" s="3" t="s">
        <v>226</v>
      </c>
      <c r="G225" s="5">
        <f>SUM(G226:G250)</f>
        <v>483378</v>
      </c>
    </row>
    <row r="226" spans="1:7" ht="14.25">
      <c r="A226" t="s">
        <v>214</v>
      </c>
      <c r="B226" t="s">
        <v>2</v>
      </c>
      <c r="C226" t="s">
        <v>216</v>
      </c>
      <c r="D226" t="str">
        <f>"040"</f>
        <v>040</v>
      </c>
      <c r="E226" t="str">
        <f>"28031"</f>
        <v>28031</v>
      </c>
      <c r="F226" t="s">
        <v>97</v>
      </c>
      <c r="G226" s="2">
        <v>149</v>
      </c>
    </row>
    <row r="227" spans="1:7" ht="14.25">
      <c r="A227" t="s">
        <v>214</v>
      </c>
      <c r="B227" t="s">
        <v>2</v>
      </c>
      <c r="C227" t="s">
        <v>216</v>
      </c>
      <c r="D227" t="str">
        <f>"040"</f>
        <v>040</v>
      </c>
      <c r="E227" t="str">
        <f>"28033"</f>
        <v>28033</v>
      </c>
      <c r="F227" t="s">
        <v>98</v>
      </c>
      <c r="G227" s="2">
        <v>324</v>
      </c>
    </row>
    <row r="228" spans="1:7" ht="14.25">
      <c r="A228" t="s">
        <v>214</v>
      </c>
      <c r="B228" t="s">
        <v>2</v>
      </c>
      <c r="C228" t="s">
        <v>216</v>
      </c>
      <c r="D228" t="str">
        <f>"040"</f>
        <v>040</v>
      </c>
      <c r="E228" t="str">
        <f>"28041511"</f>
        <v>28041511</v>
      </c>
      <c r="F228" t="s">
        <v>99</v>
      </c>
      <c r="G228" s="2">
        <v>25940</v>
      </c>
    </row>
    <row r="229" spans="1:7" ht="14.25">
      <c r="A229" t="s">
        <v>214</v>
      </c>
      <c r="B229" t="s">
        <v>2</v>
      </c>
      <c r="C229" t="s">
        <v>216</v>
      </c>
      <c r="D229" t="str">
        <f>"040"</f>
        <v>040</v>
      </c>
      <c r="E229" t="str">
        <f>"28041512"</f>
        <v>28041512</v>
      </c>
      <c r="F229" t="s">
        <v>100</v>
      </c>
      <c r="G229" s="2">
        <v>5730</v>
      </c>
    </row>
    <row r="230" spans="1:7" ht="14.25">
      <c r="A230" t="s">
        <v>214</v>
      </c>
      <c r="B230" t="s">
        <v>2</v>
      </c>
      <c r="C230" t="s">
        <v>216</v>
      </c>
      <c r="D230" t="str">
        <f>"040"</f>
        <v>040</v>
      </c>
      <c r="E230" t="str">
        <f>"28041582"</f>
        <v>28041582</v>
      </c>
      <c r="F230" t="s">
        <v>101</v>
      </c>
      <c r="G230" s="2">
        <v>27138</v>
      </c>
    </row>
    <row r="231" spans="1:7" ht="14.25">
      <c r="A231" t="s">
        <v>214</v>
      </c>
      <c r="B231" t="s">
        <v>2</v>
      </c>
      <c r="C231" t="s">
        <v>216</v>
      </c>
      <c r="D231" t="str">
        <f>"040"</f>
        <v>040</v>
      </c>
      <c r="E231" t="str">
        <f>"2804182"</f>
        <v>2804182</v>
      </c>
      <c r="F231" t="s">
        <v>102</v>
      </c>
      <c r="G231" s="2">
        <v>13823</v>
      </c>
    </row>
    <row r="232" spans="1:7" ht="14.25">
      <c r="A232" t="s">
        <v>214</v>
      </c>
      <c r="B232" t="s">
        <v>2</v>
      </c>
      <c r="C232" t="s">
        <v>216</v>
      </c>
      <c r="D232" t="str">
        <f>"040"</f>
        <v>040</v>
      </c>
      <c r="E232" t="str">
        <f>"280422"</f>
        <v>280422</v>
      </c>
      <c r="F232" t="s">
        <v>103</v>
      </c>
      <c r="G232" s="2">
        <v>21318</v>
      </c>
    </row>
    <row r="233" spans="1:7" ht="14.25">
      <c r="A233" t="s">
        <v>214</v>
      </c>
      <c r="B233" t="s">
        <v>2</v>
      </c>
      <c r="C233" t="s">
        <v>216</v>
      </c>
      <c r="D233" t="str">
        <f>"040"</f>
        <v>040</v>
      </c>
      <c r="E233" t="str">
        <f>"28051"</f>
        <v>28051</v>
      </c>
      <c r="F233" t="s">
        <v>104</v>
      </c>
      <c r="G233" s="2">
        <v>31903</v>
      </c>
    </row>
    <row r="234" spans="1:7" ht="14.25">
      <c r="A234" t="s">
        <v>214</v>
      </c>
      <c r="B234" t="s">
        <v>2</v>
      </c>
      <c r="C234" t="s">
        <v>216</v>
      </c>
      <c r="D234" t="str">
        <f>"040"</f>
        <v>040</v>
      </c>
      <c r="E234" t="str">
        <f>"28121"</f>
        <v>28121</v>
      </c>
      <c r="F234" t="s">
        <v>105</v>
      </c>
      <c r="G234" s="2">
        <v>6878</v>
      </c>
    </row>
    <row r="235" spans="1:7" ht="14.25">
      <c r="A235" t="s">
        <v>214</v>
      </c>
      <c r="B235" t="s">
        <v>2</v>
      </c>
      <c r="C235" t="s">
        <v>216</v>
      </c>
      <c r="D235" t="str">
        <f>"040"</f>
        <v>040</v>
      </c>
      <c r="E235" t="str">
        <f>"28128"</f>
        <v>28128</v>
      </c>
      <c r="F235" t="s">
        <v>106</v>
      </c>
      <c r="G235" s="2">
        <v>942</v>
      </c>
    </row>
    <row r="236" spans="1:7" ht="14.25">
      <c r="A236" t="s">
        <v>214</v>
      </c>
      <c r="B236" t="s">
        <v>2</v>
      </c>
      <c r="C236" t="s">
        <v>216</v>
      </c>
      <c r="D236" t="str">
        <f>"040"</f>
        <v>040</v>
      </c>
      <c r="E236" t="str">
        <f>"281316"</f>
        <v>281316</v>
      </c>
      <c r="F236" t="s">
        <v>107</v>
      </c>
      <c r="G236" s="2">
        <v>3761</v>
      </c>
    </row>
    <row r="237" spans="1:7" ht="14.25">
      <c r="A237" t="s">
        <v>214</v>
      </c>
      <c r="B237" t="s">
        <v>2</v>
      </c>
      <c r="C237" t="s">
        <v>216</v>
      </c>
      <c r="D237" t="str">
        <f>"040"</f>
        <v>040</v>
      </c>
      <c r="E237" t="str">
        <f>"28135"</f>
        <v>28135</v>
      </c>
      <c r="F237" t="s">
        <v>108</v>
      </c>
      <c r="G237" s="2">
        <v>45696</v>
      </c>
    </row>
    <row r="238" spans="1:7" ht="14.25">
      <c r="A238" t="s">
        <v>214</v>
      </c>
      <c r="B238" t="s">
        <v>2</v>
      </c>
      <c r="C238" t="s">
        <v>216</v>
      </c>
      <c r="D238" t="str">
        <f>"040"</f>
        <v>040</v>
      </c>
      <c r="E238" t="str">
        <f>"28151"</f>
        <v>28151</v>
      </c>
      <c r="F238" t="s">
        <v>109</v>
      </c>
      <c r="G238" s="2">
        <v>45871</v>
      </c>
    </row>
    <row r="239" spans="1:7" ht="14.25">
      <c r="A239" t="s">
        <v>214</v>
      </c>
      <c r="B239" t="s">
        <v>2</v>
      </c>
      <c r="C239" t="s">
        <v>216</v>
      </c>
      <c r="D239" t="str">
        <f>"040"</f>
        <v>040</v>
      </c>
      <c r="E239" t="str">
        <f>"28152"</f>
        <v>28152</v>
      </c>
      <c r="F239" t="s">
        <v>110</v>
      </c>
      <c r="G239" s="2">
        <v>23699</v>
      </c>
    </row>
    <row r="240" spans="1:7" ht="14.25">
      <c r="A240" t="s">
        <v>214</v>
      </c>
      <c r="B240" t="s">
        <v>2</v>
      </c>
      <c r="C240" t="s">
        <v>216</v>
      </c>
      <c r="D240" t="str">
        <f>"040"</f>
        <v>040</v>
      </c>
      <c r="E240" t="str">
        <f>"281531"</f>
        <v>281531</v>
      </c>
      <c r="F240" t="s">
        <v>111</v>
      </c>
      <c r="G240" s="2">
        <v>142</v>
      </c>
    </row>
    <row r="241" spans="1:7" ht="14.25">
      <c r="A241" t="s">
        <v>214</v>
      </c>
      <c r="B241" t="s">
        <v>2</v>
      </c>
      <c r="C241" t="s">
        <v>216</v>
      </c>
      <c r="D241" t="str">
        <f>"040"</f>
        <v>040</v>
      </c>
      <c r="E241" t="str">
        <f>"281532"</f>
        <v>281532</v>
      </c>
      <c r="F241" t="s">
        <v>112</v>
      </c>
      <c r="G241" s="2">
        <v>1106</v>
      </c>
    </row>
    <row r="242" spans="1:7" ht="14.25">
      <c r="A242" t="s">
        <v>214</v>
      </c>
      <c r="B242" t="s">
        <v>2</v>
      </c>
      <c r="C242" t="s">
        <v>216</v>
      </c>
      <c r="D242" t="str">
        <f>"040"</f>
        <v>040</v>
      </c>
      <c r="E242" t="str">
        <f>"281533"</f>
        <v>281533</v>
      </c>
      <c r="F242" t="s">
        <v>113</v>
      </c>
      <c r="G242" s="2">
        <v>332</v>
      </c>
    </row>
    <row r="243" spans="1:7" ht="14.25">
      <c r="A243" t="s">
        <v>214</v>
      </c>
      <c r="B243" t="s">
        <v>2</v>
      </c>
      <c r="C243" t="s">
        <v>216</v>
      </c>
      <c r="D243" t="str">
        <f>"040"</f>
        <v>040</v>
      </c>
      <c r="E243" t="str">
        <f>"281538"</f>
        <v>281538</v>
      </c>
      <c r="F243" t="s">
        <v>114</v>
      </c>
      <c r="G243" s="2">
        <v>23097</v>
      </c>
    </row>
    <row r="244" spans="1:7" ht="14.25">
      <c r="A244" t="s">
        <v>214</v>
      </c>
      <c r="B244" t="s">
        <v>2</v>
      </c>
      <c r="C244" t="s">
        <v>216</v>
      </c>
      <c r="D244" t="str">
        <f>"040"</f>
        <v>040</v>
      </c>
      <c r="E244" t="str">
        <f>"281568"</f>
        <v>281568</v>
      </c>
      <c r="F244" t="s">
        <v>115</v>
      </c>
      <c r="G244" s="2">
        <v>536</v>
      </c>
    </row>
    <row r="245" spans="1:7" ht="14.25">
      <c r="A245" t="s">
        <v>214</v>
      </c>
      <c r="B245" t="s">
        <v>2</v>
      </c>
      <c r="C245" t="s">
        <v>216</v>
      </c>
      <c r="D245" t="str">
        <f>"040"</f>
        <v>040</v>
      </c>
      <c r="E245" t="str">
        <f>"281578"</f>
        <v>281578</v>
      </c>
      <c r="F245" t="s">
        <v>116</v>
      </c>
      <c r="G245" s="2">
        <v>250</v>
      </c>
    </row>
    <row r="246" spans="1:7" ht="14.25">
      <c r="A246" t="s">
        <v>214</v>
      </c>
      <c r="B246" t="s">
        <v>2</v>
      </c>
      <c r="C246" t="s">
        <v>216</v>
      </c>
      <c r="D246" t="str">
        <f>"040"</f>
        <v>040</v>
      </c>
      <c r="E246" t="str">
        <f>"28158"</f>
        <v>28158</v>
      </c>
      <c r="F246" t="s">
        <v>117</v>
      </c>
      <c r="G246" s="2">
        <v>48237</v>
      </c>
    </row>
    <row r="247" spans="1:7" ht="14.25">
      <c r="A247" t="s">
        <v>214</v>
      </c>
      <c r="B247" t="s">
        <v>2</v>
      </c>
      <c r="C247" t="s">
        <v>216</v>
      </c>
      <c r="D247" t="str">
        <f>"040"</f>
        <v>040</v>
      </c>
      <c r="E247" t="str">
        <f>"28182"</f>
        <v>28182</v>
      </c>
      <c r="F247" t="s">
        <v>118</v>
      </c>
      <c r="G247" s="2">
        <v>31280</v>
      </c>
    </row>
    <row r="248" spans="1:7" ht="14.25">
      <c r="A248" t="s">
        <v>214</v>
      </c>
      <c r="B248" t="s">
        <v>2</v>
      </c>
      <c r="C248" t="s">
        <v>216</v>
      </c>
      <c r="D248" t="str">
        <f>"040"</f>
        <v>040</v>
      </c>
      <c r="E248" t="str">
        <f>"28183"</f>
        <v>28183</v>
      </c>
      <c r="F248" t="s">
        <v>119</v>
      </c>
      <c r="G248" s="2">
        <v>62174</v>
      </c>
    </row>
    <row r="249" spans="1:7" ht="14.25">
      <c r="A249" t="s">
        <v>214</v>
      </c>
      <c r="B249" t="s">
        <v>2</v>
      </c>
      <c r="C249" t="s">
        <v>216</v>
      </c>
      <c r="D249" t="str">
        <f>"040"</f>
        <v>040</v>
      </c>
      <c r="E249" t="str">
        <f>"28184"</f>
        <v>28184</v>
      </c>
      <c r="F249" t="s">
        <v>120</v>
      </c>
      <c r="G249" s="2">
        <v>21357</v>
      </c>
    </row>
    <row r="250" spans="1:7" ht="14.25">
      <c r="A250" t="s">
        <v>214</v>
      </c>
      <c r="B250" t="s">
        <v>2</v>
      </c>
      <c r="C250" t="s">
        <v>216</v>
      </c>
      <c r="D250" t="str">
        <f>"040"</f>
        <v>040</v>
      </c>
      <c r="E250" t="str">
        <f>"28188"</f>
        <v>28188</v>
      </c>
      <c r="F250" t="s">
        <v>121</v>
      </c>
      <c r="G250" s="2">
        <v>41695</v>
      </c>
    </row>
    <row r="251" spans="1:7" s="3" customFormat="1" ht="14.25">
      <c r="A251" s="3" t="s">
        <v>214</v>
      </c>
      <c r="B251" s="3" t="s">
        <v>2</v>
      </c>
      <c r="C251" s="3" t="s">
        <v>216</v>
      </c>
      <c r="D251" s="9" t="s">
        <v>243</v>
      </c>
      <c r="F251" s="3" t="s">
        <v>244</v>
      </c>
      <c r="G251" s="5">
        <f>SUM(G252:G254)</f>
        <v>211120</v>
      </c>
    </row>
    <row r="252" spans="1:7" ht="14.25">
      <c r="A252" t="s">
        <v>214</v>
      </c>
      <c r="B252" t="s">
        <v>2</v>
      </c>
      <c r="C252" t="s">
        <v>216</v>
      </c>
      <c r="D252" t="str">
        <f>"041"</f>
        <v>041</v>
      </c>
      <c r="E252" t="str">
        <f>"2031"</f>
        <v>2031</v>
      </c>
      <c r="F252" t="s">
        <v>97</v>
      </c>
      <c r="G252" s="2">
        <v>198308</v>
      </c>
    </row>
    <row r="253" spans="1:7" ht="14.25">
      <c r="A253" t="s">
        <v>214</v>
      </c>
      <c r="B253" t="s">
        <v>2</v>
      </c>
      <c r="C253" t="s">
        <v>216</v>
      </c>
      <c r="D253" t="str">
        <f>"041"</f>
        <v>041</v>
      </c>
      <c r="E253" t="str">
        <f>"2033"</f>
        <v>2033</v>
      </c>
      <c r="F253" t="s">
        <v>98</v>
      </c>
      <c r="G253" s="2">
        <v>2812</v>
      </c>
    </row>
    <row r="254" spans="1:7" ht="14.25">
      <c r="A254" t="s">
        <v>214</v>
      </c>
      <c r="B254" t="s">
        <v>2</v>
      </c>
      <c r="C254" t="s">
        <v>216</v>
      </c>
      <c r="D254" t="str">
        <f>"041"</f>
        <v>041</v>
      </c>
      <c r="E254" t="str">
        <f>"238"</f>
        <v>238</v>
      </c>
      <c r="F254" t="s">
        <v>125</v>
      </c>
      <c r="G254" s="2">
        <v>10000</v>
      </c>
    </row>
    <row r="255" spans="1:7" s="3" customFormat="1" ht="14.25">
      <c r="A255" s="3" t="s">
        <v>213</v>
      </c>
      <c r="B255" s="3" t="s">
        <v>2</v>
      </c>
      <c r="C255" s="3" t="s">
        <v>216</v>
      </c>
      <c r="D255" s="8">
        <v>10</v>
      </c>
      <c r="F255" s="3" t="s">
        <v>253</v>
      </c>
      <c r="G255" s="5">
        <f>SUM(G256:G258)</f>
        <v>2109425.4</v>
      </c>
    </row>
    <row r="256" spans="1:7" ht="14.25">
      <c r="A256" t="s">
        <v>213</v>
      </c>
      <c r="B256" t="s">
        <v>2</v>
      </c>
      <c r="C256" t="s">
        <v>216</v>
      </c>
      <c r="D256" t="str">
        <f>"10"</f>
        <v>10</v>
      </c>
      <c r="E256" t="str">
        <f>"10222"</f>
        <v>10222</v>
      </c>
      <c r="F256" t="s">
        <v>129</v>
      </c>
      <c r="G256" s="2">
        <v>180000</v>
      </c>
    </row>
    <row r="257" spans="1:7" ht="14.25">
      <c r="A257" t="s">
        <v>213</v>
      </c>
      <c r="B257" t="s">
        <v>2</v>
      </c>
      <c r="C257" t="s">
        <v>216</v>
      </c>
      <c r="D257" t="str">
        <f>"10"</f>
        <v>10</v>
      </c>
      <c r="E257" t="str">
        <f>"10226"</f>
        <v>10226</v>
      </c>
      <c r="F257" t="s">
        <v>130</v>
      </c>
      <c r="G257" s="2">
        <v>40000</v>
      </c>
    </row>
    <row r="258" spans="1:7" ht="14.25">
      <c r="A258" t="s">
        <v>213</v>
      </c>
      <c r="B258" t="s">
        <v>2</v>
      </c>
      <c r="C258" t="s">
        <v>216</v>
      </c>
      <c r="D258" t="str">
        <f>"10"</f>
        <v>10</v>
      </c>
      <c r="E258" t="str">
        <f>"1068"</f>
        <v>1068</v>
      </c>
      <c r="F258" t="s">
        <v>131</v>
      </c>
      <c r="G258" s="2">
        <v>1889425.4</v>
      </c>
    </row>
    <row r="259" spans="1:7" s="3" customFormat="1" ht="14.25">
      <c r="A259" s="3" t="s">
        <v>213</v>
      </c>
      <c r="B259" s="3" t="s">
        <v>2</v>
      </c>
      <c r="C259" s="3" t="s">
        <v>216</v>
      </c>
      <c r="D259" s="8">
        <v>13</v>
      </c>
      <c r="F259" s="3" t="s">
        <v>254</v>
      </c>
      <c r="G259" s="5">
        <f>SUM(G260:G262)</f>
        <v>334025</v>
      </c>
    </row>
    <row r="260" spans="1:7" ht="14.25">
      <c r="A260" t="s">
        <v>213</v>
      </c>
      <c r="B260" t="s">
        <v>2</v>
      </c>
      <c r="C260" t="s">
        <v>216</v>
      </c>
      <c r="D260" t="str">
        <f>"13"</f>
        <v>13</v>
      </c>
      <c r="E260" t="str">
        <f>"1321"</f>
        <v>1321</v>
      </c>
      <c r="F260" t="s">
        <v>132</v>
      </c>
      <c r="G260" s="2">
        <v>16600</v>
      </c>
    </row>
    <row r="261" spans="1:7" ht="14.25">
      <c r="A261" t="s">
        <v>213</v>
      </c>
      <c r="B261" t="s">
        <v>2</v>
      </c>
      <c r="C261" t="s">
        <v>216</v>
      </c>
      <c r="D261" t="str">
        <f>"13"</f>
        <v>13</v>
      </c>
      <c r="E261" t="str">
        <f>"13251"</f>
        <v>13251</v>
      </c>
      <c r="F261" t="s">
        <v>133</v>
      </c>
      <c r="G261" s="2">
        <v>280425</v>
      </c>
    </row>
    <row r="262" spans="1:7" ht="14.25">
      <c r="A262" t="s">
        <v>213</v>
      </c>
      <c r="B262" t="s">
        <v>2</v>
      </c>
      <c r="C262" t="s">
        <v>216</v>
      </c>
      <c r="D262" t="str">
        <f>"13"</f>
        <v>13</v>
      </c>
      <c r="E262" t="str">
        <f>"1341"</f>
        <v>1341</v>
      </c>
      <c r="F262" t="s">
        <v>134</v>
      </c>
      <c r="G262" s="2">
        <v>37000</v>
      </c>
    </row>
    <row r="263" spans="1:7" s="3" customFormat="1" ht="14.25">
      <c r="A263" s="3" t="s">
        <v>213</v>
      </c>
      <c r="B263" s="3" t="s">
        <v>2</v>
      </c>
      <c r="C263" s="3" t="s">
        <v>216</v>
      </c>
      <c r="D263" s="8">
        <v>23</v>
      </c>
      <c r="F263" s="3" t="s">
        <v>249</v>
      </c>
      <c r="G263" s="5">
        <f>G264</f>
        <v>1050</v>
      </c>
    </row>
    <row r="264" spans="1:7" ht="14.25">
      <c r="A264" t="s">
        <v>213</v>
      </c>
      <c r="B264" t="s">
        <v>2</v>
      </c>
      <c r="C264" t="s">
        <v>216</v>
      </c>
      <c r="D264" t="str">
        <f>"23"</f>
        <v>23</v>
      </c>
      <c r="E264" t="str">
        <f>"2315"</f>
        <v>2315</v>
      </c>
      <c r="F264" t="s">
        <v>150</v>
      </c>
      <c r="G264" s="2">
        <v>1050</v>
      </c>
    </row>
    <row r="265" spans="1:7" s="3" customFormat="1" ht="14.25">
      <c r="A265" s="3" t="s">
        <v>213</v>
      </c>
      <c r="B265" s="3" t="s">
        <v>2</v>
      </c>
      <c r="C265" s="3" t="s">
        <v>216</v>
      </c>
      <c r="D265" s="8">
        <v>27</v>
      </c>
      <c r="F265" s="3" t="s">
        <v>255</v>
      </c>
      <c r="G265" s="5">
        <f>G266</f>
        <v>28428</v>
      </c>
    </row>
    <row r="266" spans="1:7" ht="14.25">
      <c r="A266" t="s">
        <v>213</v>
      </c>
      <c r="B266" t="s">
        <v>2</v>
      </c>
      <c r="C266" t="s">
        <v>216</v>
      </c>
      <c r="D266" t="str">
        <f>"27"</f>
        <v>27</v>
      </c>
      <c r="E266" t="str">
        <f>"27636"</f>
        <v>27636</v>
      </c>
      <c r="F266" t="s">
        <v>151</v>
      </c>
      <c r="G266" s="2">
        <v>28428</v>
      </c>
    </row>
    <row r="267" spans="1:7" s="3" customFormat="1" ht="14.25">
      <c r="A267" s="3" t="s">
        <v>213</v>
      </c>
      <c r="B267" s="3" t="s">
        <v>2</v>
      </c>
      <c r="C267" s="3" t="s">
        <v>216</v>
      </c>
      <c r="D267" s="8">
        <v>4582</v>
      </c>
      <c r="F267" s="3" t="s">
        <v>250</v>
      </c>
      <c r="G267" s="5">
        <f>SUM(G268:G270)</f>
        <v>158649.55</v>
      </c>
    </row>
    <row r="268" spans="1:7" ht="14.25">
      <c r="A268" t="s">
        <v>213</v>
      </c>
      <c r="B268" t="s">
        <v>2</v>
      </c>
      <c r="C268" t="s">
        <v>216</v>
      </c>
      <c r="D268" t="str">
        <f>"4582"</f>
        <v>4582</v>
      </c>
      <c r="E268" t="str">
        <f>"458225"</f>
        <v>458225</v>
      </c>
      <c r="F268" t="s">
        <v>152</v>
      </c>
      <c r="G268" s="2">
        <v>30613.14</v>
      </c>
    </row>
    <row r="269" spans="1:7" ht="14.25">
      <c r="A269" t="s">
        <v>213</v>
      </c>
      <c r="B269" t="s">
        <v>2</v>
      </c>
      <c r="C269" t="s">
        <v>216</v>
      </c>
      <c r="D269" t="str">
        <f>"4582"</f>
        <v>4582</v>
      </c>
      <c r="E269" t="str">
        <f>"458227"</f>
        <v>458227</v>
      </c>
      <c r="F269" t="s">
        <v>153</v>
      </c>
      <c r="G269" s="2">
        <v>116516.41</v>
      </c>
    </row>
    <row r="270" spans="1:8" ht="14.25">
      <c r="A270" t="s">
        <v>213</v>
      </c>
      <c r="B270" t="s">
        <v>2</v>
      </c>
      <c r="C270" t="s">
        <v>216</v>
      </c>
      <c r="D270" t="str">
        <f>"4582"</f>
        <v>4582</v>
      </c>
      <c r="E270" t="str">
        <f>"458228"</f>
        <v>458228</v>
      </c>
      <c r="F270" t="s">
        <v>154</v>
      </c>
      <c r="G270" s="2">
        <v>11520</v>
      </c>
      <c r="H27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gregoire</cp:lastModifiedBy>
  <dcterms:created xsi:type="dcterms:W3CDTF">2020-07-07T09:02:08Z</dcterms:created>
  <dcterms:modified xsi:type="dcterms:W3CDTF">2020-07-07T10:21:09Z</dcterms:modified>
  <cp:category/>
  <cp:version/>
  <cp:contentType/>
  <cp:contentStatus/>
</cp:coreProperties>
</file>