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5230" windowHeight="5910" tabRatio="824" activeTab="0"/>
  </bookViews>
  <sheets>
    <sheet name="Sommaire" sheetId="1" r:id="rId1"/>
    <sheet name="30-T1" sheetId="2" r:id="rId2"/>
    <sheet name="30-T2" sheetId="3" r:id="rId3"/>
    <sheet name="30-T3" sheetId="4" r:id="rId4"/>
    <sheet name="30-G1" sheetId="5" r:id="rId5"/>
    <sheet name="30-G2" sheetId="6" r:id="rId6"/>
    <sheet name="31-G1" sheetId="7" r:id="rId7"/>
    <sheet name="31-G2" sheetId="8" r:id="rId8"/>
    <sheet name="31-G4" sheetId="9" r:id="rId9"/>
    <sheet name="31-G3" sheetId="10" r:id="rId10"/>
    <sheet name="31-G5" sheetId="11" r:id="rId11"/>
    <sheet name="31-G6" sheetId="12" r:id="rId12"/>
    <sheet name="31-G7" sheetId="13" r:id="rId13"/>
    <sheet name="32-G1 &amp; G2" sheetId="14" r:id="rId14"/>
    <sheet name="32-G3" sheetId="15" r:id="rId15"/>
    <sheet name="32-G4" sheetId="16" r:id="rId16"/>
    <sheet name="32-G5" sheetId="17" r:id="rId17"/>
    <sheet name="32-G6" sheetId="18" r:id="rId18"/>
    <sheet name="32-G7" sheetId="19" r:id="rId19"/>
    <sheet name="Inflation" sheetId="20" r:id="rId20"/>
  </sheets>
  <externalReferences>
    <externalReference r:id="rId23"/>
    <externalReference r:id="rId24"/>
    <externalReference r:id="rId25"/>
  </externalReferences>
  <definedNames>
    <definedName name="TABLE" localSheetId="9">'31-G3'!$C$27:$H$27</definedName>
    <definedName name="TABLE" localSheetId="8">'31-G4'!#REF!</definedName>
    <definedName name="TABLE" localSheetId="10">'31-G5'!#REF!</definedName>
    <definedName name="TABLE" localSheetId="11">'31-G6'!#REF!</definedName>
    <definedName name="TABLE" localSheetId="16">'32-G5'!#REF!</definedName>
    <definedName name="TABLE" localSheetId="17">'32-G6'!#REF!</definedName>
    <definedName name="TABLE_2" localSheetId="9">'31-G3'!#REF!</definedName>
    <definedName name="TABLE_2" localSheetId="16">'32-G5'!#REF!</definedName>
    <definedName name="TABLE_3" localSheetId="9">'31-G3'!#REF!</definedName>
    <definedName name="TABLE_3" localSheetId="16">'32-G5'!#REF!</definedName>
    <definedName name="TABLE_4" localSheetId="9">'31-G3'!#REF!</definedName>
    <definedName name="TABLE_4" localSheetId="16">'32-G5'!#REF!</definedName>
    <definedName name="_xlnm.Print_Area" localSheetId="4">'30-G1'!$B$2:$L$24</definedName>
  </definedNames>
  <calcPr fullCalcOnLoad="1"/>
</workbook>
</file>

<file path=xl/sharedStrings.xml><?xml version="1.0" encoding="utf-8"?>
<sst xmlns="http://schemas.openxmlformats.org/spreadsheetml/2006/main" count="582" uniqueCount="265">
  <si>
    <t>RMC (retraite mutualiste du combattant)</t>
  </si>
  <si>
    <t>nr</t>
  </si>
  <si>
    <t>PERE</t>
  </si>
  <si>
    <t>Tableau 1 : Montants des versements effectués au titre de la retraite supplémentaire</t>
  </si>
  <si>
    <t>PERCO</t>
  </si>
  <si>
    <t>nd</t>
  </si>
  <si>
    <t>Tableau 1 : Adhérents aux dispositifs de retraite supplémentaire</t>
  </si>
  <si>
    <t>2005</t>
  </si>
  <si>
    <t>2006</t>
  </si>
  <si>
    <t>2007</t>
  </si>
  <si>
    <t>2008</t>
  </si>
  <si>
    <t>2009</t>
  </si>
  <si>
    <t>Mutuelles</t>
  </si>
  <si>
    <t>-</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</si>
  <si>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</si>
  <si>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</si>
  <si>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</si>
  <si>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</si>
  <si>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</si>
  <si>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</si>
  <si>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</si>
  <si>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</si>
  <si>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</si>
  <si>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</si>
  <si>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</si>
  <si>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</si>
  <si>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</si>
  <si>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</si>
  <si>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</si>
  <si>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</si>
  <si>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</si>
  <si>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</si>
  <si>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</si>
  <si>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</si>
  <si>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</si>
  <si>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</si>
  <si>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Exploitants Agricoles</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</si>
  <si>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</si>
  <si>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</si>
  <si>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</si>
  <si>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</si>
  <si>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</si>
  <si>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</si>
  <si>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</si>
  <si>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</si>
  <si>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</si>
  <si>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</si>
  <si>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</si>
  <si>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</si>
  <si>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</si>
  <si>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</si>
  <si>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</si>
  <si>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</si>
  <si>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</si>
  <si>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</si>
  <si>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</si>
  <si>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</si>
  <si>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Organismes de gestion d'épargne salariale</t>
  </si>
  <si>
    <t>2011</t>
  </si>
  <si>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</si>
  <si>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</si>
  <si>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</si>
  <si>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</si>
  <si>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</si>
  <si>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</si>
  <si>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</si>
  <si>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</si>
  <si>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</si>
  <si>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</si>
  <si>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</si>
  <si>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</si>
  <si>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</si>
  <si>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</si>
  <si>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</si>
  <si>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</si>
  <si>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</si>
  <si>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</si>
  <si>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</si>
  <si>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</si>
  <si>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</si>
  <si>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</si>
  <si>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</si>
  <si>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</si>
  <si>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</si>
  <si>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</si>
  <si>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</si>
  <si>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</si>
  <si>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</si>
  <si>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</si>
  <si>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</si>
  <si>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</si>
  <si>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</si>
  <si>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</si>
  <si>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</si>
  <si>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Contrats de type « art. 39 » du CGI</t>
    </r>
    <r>
      <rPr>
        <vertAlign val="superscript"/>
        <sz val="8"/>
        <color indexed="8"/>
        <rFont val="Arial"/>
        <family val="2"/>
      </rPr>
      <t>2</t>
    </r>
  </si>
  <si>
    <t>Évolution de 
la cotisation 
moyenne 
par adhérent (en %)</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</si>
  <si>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</si>
  <si>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</si>
  <si>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</si>
  <si>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</si>
  <si>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</si>
  <si>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</si>
  <si>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2014</t>
  </si>
  <si>
    <t>Rentes viagères</t>
  </si>
  <si>
    <t>VFU</t>
  </si>
  <si>
    <t>Sorties en capital</t>
  </si>
  <si>
    <t>Constitution</t>
  </si>
  <si>
    <t>Liquidation</t>
  </si>
  <si>
    <t>2015</t>
  </si>
  <si>
    <t>Sociétés d'assurances</t>
  </si>
  <si>
    <t>Instituts de prévoyance</t>
  </si>
  <si>
    <t>Nombre d'actifs</t>
  </si>
  <si>
    <t>Cotisants PERCO</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</si>
  <si>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</si>
  <si>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</si>
  <si>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</si>
  <si>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</si>
  <si>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</si>
  <si>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</si>
  <si>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</si>
  <si>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r>
      <t>PERP</t>
    </r>
    <r>
      <rPr>
        <vertAlign val="superscript"/>
        <sz val="8"/>
        <rFont val="Arial"/>
        <family val="2"/>
      </rPr>
      <t>1</t>
    </r>
  </si>
  <si>
    <r>
      <t>Autres contrats souscrits individuellement</t>
    </r>
    <r>
      <rPr>
        <vertAlign val="superscript"/>
        <sz val="8"/>
        <rFont val="Arial"/>
        <family val="2"/>
      </rPr>
      <t>2</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</si>
  <si>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</si>
  <si>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</si>
  <si>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</si>
  <si>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</si>
  <si>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</si>
  <si>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</si>
  <si>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</si>
  <si>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</si>
  <si>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</si>
  <si>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Part de la retraite supplémentaire dans l'ensemble des régimes de retraite (obligatoire et facultative)</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</si>
  <si>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</si>
  <si>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</si>
  <si>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</si>
  <si>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</si>
  <si>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</si>
  <si>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</si>
  <si>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</si>
  <si>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r>
      <t>Contrats de type « art.83 » du CGI</t>
    </r>
    <r>
      <rPr>
        <vertAlign val="superscript"/>
        <sz val="8"/>
        <color indexed="8"/>
        <rFont val="Arial"/>
        <family val="2"/>
      </rPr>
      <t>1 4</t>
    </r>
  </si>
  <si>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</si>
  <si>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</si>
  <si>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Cotisants indépendants</t>
  </si>
  <si>
    <t>Cotisants à un produit de retraite suplémentaire d'entreprise</t>
  </si>
  <si>
    <t>Cotisants à un produits de retraite supplémentaire</t>
  </si>
  <si>
    <r>
      <t>Contrats de type « art. 83 » du CGI</t>
    </r>
    <r>
      <rPr>
        <vertAlign val="superscript"/>
        <sz val="8"/>
        <color indexed="8"/>
        <rFont val="Arial"/>
        <family val="2"/>
      </rPr>
      <t>1 4</t>
    </r>
  </si>
  <si>
    <r>
      <t>Ensemble des dispositifs</t>
    </r>
    <r>
      <rPr>
        <b/>
        <vertAlign val="superscript"/>
        <sz val="8"/>
        <color indexed="8"/>
        <rFont val="Arial"/>
        <family val="2"/>
      </rPr>
      <t>3</t>
    </r>
  </si>
  <si>
    <t>Ensemble des produits</t>
  </si>
  <si>
    <t>Nombre d’adhérents  au 31 décembre (en milliers)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</si>
  <si>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</si>
  <si>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</si>
  <si>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</si>
  <si>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</si>
  <si>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</si>
  <si>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</si>
  <si>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</si>
  <si>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Contrats souscrits à titre personnel</t>
  </si>
  <si>
    <t>Contrats pour les indépendants</t>
  </si>
  <si>
    <t>Contrats pour les salariés</t>
  </si>
  <si>
    <t>Ensemble des contrats de retraite supplémentaire</t>
  </si>
  <si>
    <t>2016/
2017</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</si>
  <si>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</si>
  <si>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</si>
  <si>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</si>
  <si>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</si>
  <si>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Part des prestations versées en 2017 selon le type de versement (en %)</t>
  </si>
  <si>
    <t>2016/2017</t>
  </si>
  <si>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</si>
  <si>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</si>
  <si>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</si>
  <si>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</si>
  <si>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provisions mathématiques en 2017 selon la phase considérée (en %)</t>
  </si>
  <si>
    <t xml:space="preserve">Tableau 2 : Montants des prestations au titre de la retraite supplémentaire </t>
  </si>
  <si>
    <t xml:space="preserve">Tableau 3 : Montants des provisions mathématiques au titre de la retraite supplémentaire </t>
  </si>
  <si>
    <t>Graphique 1. Répartition des masses de cotisations, prestations et provisions mathématiques, au titre de la retraite supplémentaire en fontion du type d'organisme</t>
  </si>
  <si>
    <t>Graphique 2 : Part de la retraite supplémentaire dans l'ensemble des régimes de retraite (obligatoire et facultative)</t>
  </si>
  <si>
    <t>Répartition des masses de cotisations, prestations et provisions mathématiques, au titre de la retraite supplémentaire en fontion du type d'organisme</t>
  </si>
  <si>
    <r>
      <t xml:space="preserve">Évolutions effectifs d'adhérents
</t>
    </r>
    <r>
      <rPr>
        <sz val="8"/>
        <color indexed="8"/>
        <rFont val="Arial"/>
        <family val="2"/>
      </rPr>
      <t>(en %)</t>
    </r>
  </si>
  <si>
    <t>2017</t>
  </si>
  <si>
    <t>2016-2017</t>
  </si>
  <si>
    <r>
      <t xml:space="preserve">Dispositifs gérés en 2017 par les : </t>
    </r>
    <r>
      <rPr>
        <sz val="8"/>
        <color indexed="8"/>
        <rFont val="Arial"/>
        <family val="2"/>
      </rPr>
      <t>(en % du nombre d'adhérents)</t>
    </r>
  </si>
  <si>
    <r>
      <t xml:space="preserve">Évolution de 
la cotisation moyenne 
par adhérent ayant effectué un versement </t>
    </r>
    <r>
      <rPr>
        <sz val="8"/>
        <color indexed="8"/>
        <rFont val="Arial"/>
        <family val="2"/>
      </rPr>
      <t>(en %)</t>
    </r>
  </si>
  <si>
    <r>
      <t xml:space="preserve">Evolution 
2016-2017 </t>
    </r>
    <r>
      <rPr>
        <sz val="8"/>
        <color indexed="8"/>
        <rFont val="Arial"/>
        <family val="2"/>
      </rPr>
      <t xml:space="preserve">(en %)
</t>
    </r>
    <r>
      <rPr>
        <i/>
        <sz val="8"/>
        <color indexed="8"/>
        <rFont val="Arial"/>
        <family val="2"/>
      </rPr>
      <t>en euros constants</t>
    </r>
  </si>
  <si>
    <t>Graphique 4. Évolution de la part des bénéficiaires d'une rente viagère (hors réversion) issue d'un produit de retraite supplémentaire parmi l'ensemble des retraités</t>
  </si>
  <si>
    <r>
      <t>Cotisation annuelle moyenne par adhérent ayant effectué un versement (cotisant)</t>
    </r>
    <r>
      <rPr>
        <sz val="8"/>
        <color indexed="8"/>
        <rFont val="Arial"/>
        <family val="2"/>
      </rPr>
      <t xml:space="preserve">
(en euros)</t>
    </r>
  </si>
  <si>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</si>
  <si>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</si>
  <si>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</si>
  <si>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</si>
  <si>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</si>
  <si>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</si>
  <si>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</si>
  <si>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</si>
  <si>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</si>
  <si>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</si>
  <si>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</si>
  <si>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Les cotisations et les prestations sont converties en euros constants en utilisant l'indice des prix en moyenne annuelle.</t>
  </si>
  <si>
    <t>PERP et assimilés (cadre personnel)</t>
  </si>
  <si>
    <t>Produits destinés aux fonctionnaires ou aux élus locaux (Prefon, Corem, CRH, Fonpel, Carel-Mudel)</t>
  </si>
  <si>
    <t>Produits pour les salariés et indépendants (cadre professionnel)</t>
  </si>
  <si>
    <t>• Produits pour les indépendants (à titre individuel)</t>
  </si>
  <si>
    <t>• Produits pour les salariés (à titre collectif, y compris Perco)</t>
  </si>
  <si>
    <t>Perco</t>
  </si>
  <si>
    <r>
      <t>Perco</t>
    </r>
    <r>
      <rPr>
        <vertAlign val="superscript"/>
        <sz val="8"/>
        <color indexed="8"/>
        <rFont val="Arial"/>
        <family val="2"/>
      </rPr>
      <t>3</t>
    </r>
  </si>
  <si>
    <r>
      <t>Perco</t>
    </r>
    <r>
      <rPr>
        <vertAlign val="superscript"/>
        <sz val="8"/>
        <rFont val="Arial"/>
        <family val="2"/>
      </rPr>
      <t>3</t>
    </r>
  </si>
  <si>
    <t>Institutions de prévoyance</t>
  </si>
  <si>
    <r>
      <t>• Produits pour les salariés (à titre collectif, y compris Perco)</t>
    </r>
    <r>
      <rPr>
        <b/>
        <vertAlign val="superscript"/>
        <sz val="8"/>
        <color indexed="8"/>
        <rFont val="Arial"/>
        <family val="2"/>
      </rPr>
      <t>3</t>
    </r>
  </si>
  <si>
    <t>Montants des prestations au titre de la retraite supplémentaire</t>
  </si>
  <si>
    <t>Évolution de la part des cotisants à un produit de retraite supplémentaire parmi les actifs occupés (hors « articles 39 »)</t>
  </si>
  <si>
    <t>Évolution de la répartition de nouveaux adhérents à un produit de retraite supplémentaire par classe d'âge (hors « articles 82 et 39 »)</t>
  </si>
  <si>
    <t>Évolution de la part des bénéficiaires d'une rente viagère (hors réversion) issue d'un produit de retraite supplémentaire parmi l'ensemble des retraités</t>
  </si>
  <si>
    <t>2017/2018</t>
  </si>
  <si>
    <t>2017/
2018</t>
  </si>
  <si>
    <t>2018</t>
  </si>
  <si>
    <t>2017-2018</t>
  </si>
  <si>
    <t>2013-2018</t>
  </si>
  <si>
    <t>Adhérents ayant effectué un versement en 2018</t>
  </si>
  <si>
    <r>
      <t xml:space="preserve">Evolution
2017-2018 </t>
    </r>
    <r>
      <rPr>
        <sz val="8"/>
        <color indexed="8"/>
        <rFont val="Arial"/>
        <family val="2"/>
      </rPr>
      <t>(en %)</t>
    </r>
  </si>
  <si>
    <r>
      <t xml:space="preserve">Evolution 
2017-2018 </t>
    </r>
    <r>
      <rPr>
        <sz val="8"/>
        <color indexed="8"/>
        <rFont val="Arial"/>
        <family val="2"/>
      </rPr>
      <t xml:space="preserve">(en %)
</t>
    </r>
    <r>
      <rPr>
        <i/>
        <sz val="8"/>
        <color indexed="8"/>
        <rFont val="Arial"/>
        <family val="2"/>
      </rPr>
      <t>en euros constants</t>
    </r>
  </si>
  <si>
    <t>Graphique 3 : Nature de la rente viagère en fonction du type de contrat en 2018</t>
  </si>
  <si>
    <t>Graphique 5. Bénéficiaires de rentes viagères perçues en 2018 par tranche de rente annuelle</t>
  </si>
  <si>
    <t>Graphique 7 : Bénéficiaires de rentes en 2018 par sexe selon les dispositifs</t>
  </si>
  <si>
    <t>Graphique 6 : Bénéficiaires de rentes viagères en 2018 par tranche d'âge selon le dispositif</t>
  </si>
  <si>
    <t>Graphique 3 : Part des cotisants à un produit de retraite supplémentaire en 2018 selon la tranche annuelle de versement (hors « art. 82 et 39 »)</t>
  </si>
  <si>
    <t>Graphique 4. Évolution de la part des cotisants à un produit de retraite supplémentaire parmi les actifs occupés par type de produit</t>
  </si>
  <si>
    <t>Graphique 5. Répartition par âge parmi les adhérents (nouveaux adhérents inclus) à un contrat de retraite supplémentaire (hors « articles 82 et 39 »)</t>
  </si>
  <si>
    <t>Graphique 6. Évolution de la répartition des nouveaux adhérents à un produit de retraite supplémentaire par classes d'âge</t>
  </si>
  <si>
    <t>Graphique 7. Les adhérents à un produit de retraite supplémentaire en 2018 par sexe, selon les dispositifs</t>
  </si>
  <si>
    <t>Graphiques 1 et 2. Bénéficiaires d'une rente et montants moyens des prestations annuelles de retraite supplémentaire facultative de 2009 à 2018</t>
  </si>
  <si>
    <t>30-T1</t>
  </si>
  <si>
    <t>30-T2</t>
  </si>
  <si>
    <t>30-T3</t>
  </si>
  <si>
    <t>30-G1</t>
  </si>
  <si>
    <t>30-G2</t>
  </si>
  <si>
    <t>32-G1&amp;G2</t>
  </si>
  <si>
    <t>32-G3</t>
  </si>
  <si>
    <t>32-G4</t>
  </si>
  <si>
    <t>32-G5</t>
  </si>
  <si>
    <t>32-G6</t>
  </si>
  <si>
    <t>32-G7</t>
  </si>
  <si>
    <t>31-G1</t>
  </si>
  <si>
    <t>31-G2</t>
  </si>
  <si>
    <t>31-G3</t>
  </si>
  <si>
    <t>31-G4</t>
  </si>
  <si>
    <t>31-G5</t>
  </si>
  <si>
    <t>31-G6</t>
  </si>
  <si>
    <t>31-G7</t>
  </si>
  <si>
    <t>Données jusqu'au 31 décembre 2018</t>
  </si>
  <si>
    <t>Première mise en ligne : janvier 2020</t>
  </si>
  <si>
    <t>- Numéro de la fiche de l'ouvrage 2020 dans laquelle l'illustration se trouvera</t>
  </si>
  <si>
    <t>Inflation</t>
  </si>
  <si>
    <r>
      <rPr>
        <b/>
        <sz val="8"/>
        <rFont val="Arial"/>
        <family val="2"/>
      </rPr>
      <t>Source</t>
    </r>
    <r>
      <rPr>
        <sz val="8"/>
        <rFont val="Arial"/>
        <family val="2"/>
      </rPr>
      <t xml:space="preserve"> • Enquête Retraite supplémentaire de 2018 de la DREES ; données FFA. </t>
    </r>
  </si>
  <si>
    <r>
      <t>PERE</t>
    </r>
    <r>
      <rPr>
        <vertAlign val="superscript"/>
        <sz val="8"/>
        <rFont val="Arial"/>
        <family val="2"/>
      </rPr>
      <t>1</t>
    </r>
  </si>
  <si>
    <t>Ensemble des retraités de droits
directs ou de droits dérivés</t>
  </si>
  <si>
    <t>Ce fichier présente les données qui seront diffusées dans les fiches 30 à 32 de l'édition 2020 du Panorama sur les retraités et les retraites avec, pour certains tableaux, les séries historiques correspondantes.</t>
  </si>
  <si>
    <t>Dispositifs gérés en 2018 selon le type d'organisme</t>
  </si>
  <si>
    <r>
      <t xml:space="preserve">Cotisation annuelle moyenne par adhérent, y compris ceux n’ayant pas fait de versement dans l’année </t>
    </r>
    <r>
      <rPr>
        <sz val="8"/>
        <color indexed="8"/>
        <rFont val="Arial"/>
        <family val="2"/>
      </rPr>
      <t xml:space="preserve">
(en euros)</t>
    </r>
  </si>
  <si>
    <t>Part des cotisants à un produit de retraite supplémentaire en 2018 selon la tranche annuelle de versement (hors « art. 82 et 39 »)</t>
  </si>
  <si>
    <t>Part des classes d’âges parmi les adhérents (nouveaux adhérents inclus) à un contrat de retraite supplémentaire en 2018 (hors « articles 82 et 39 »)</t>
  </si>
  <si>
    <t>Les adhérents à un produit de retraite supplémentaire en 2018 par sexe selon les dispositifs</t>
  </si>
  <si>
    <t>Bénéficiaires d'une rente et montants moyens des prestations annuelles de retraite supplémentaire facultative de 2009 à 2018</t>
  </si>
  <si>
    <t>Nature de la rente viagère en fonction du type de contrat en 2018</t>
  </si>
  <si>
    <t>Bénéficiaires de rentes viagères perçues en 2018 par tranche de rente annuelle</t>
  </si>
  <si>
    <t>Bénéficiaires de rentes viagères en 2018 par tranche d'âge selon le dispositif</t>
  </si>
  <si>
    <t>Bénéficiaires de rentes en 2018 par sexe selon les dispositifs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</si>
</sst>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 numFmtId="218" formatCode="#,##0.0&quot;        &quot;"/>
    <numFmt numFmtId="219" formatCode="#,##0.0&quot; &quot;"/>
    <numFmt numFmtId="220" formatCode="#,##0.00&quot; &quot;"/>
    <numFmt numFmtId="221" formatCode="#,##0.000&quot; &quot;"/>
    <numFmt numFmtId="222" formatCode="#,##0.0000&quot; &quot;"/>
    <numFmt numFmtId="223" formatCode="#,##0.00000&quot; &quot;"/>
    <numFmt numFmtId="224" formatCode="#,##0.000000&quot; &quot;"/>
  </numFmts>
  <fonts count="86">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14"/>
      <color indexed="62"/>
      <name val="Arial"/>
      <family val="2"/>
    </font>
    <font>
      <b/>
      <sz val="11"/>
      <color indexed="62"/>
      <name val="Arial"/>
      <family val="2"/>
    </font>
    <font>
      <sz val="10"/>
      <color indexed="62"/>
      <name val="Arial"/>
      <family val="2"/>
    </font>
    <font>
      <b/>
      <sz val="8"/>
      <color indexed="23"/>
      <name val="Arial"/>
      <family val="2"/>
    </font>
    <font>
      <sz val="10"/>
      <color indexed="10"/>
      <name val="Arial"/>
      <family val="2"/>
    </font>
    <font>
      <sz val="8"/>
      <color indexed="23"/>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2.55"/>
      <color indexed="8"/>
      <name val="Arial"/>
      <family val="0"/>
    </font>
    <font>
      <sz val="2.25"/>
      <color indexed="8"/>
      <name val="Arial"/>
      <family val="0"/>
    </font>
    <font>
      <b/>
      <sz val="2.75"/>
      <color indexed="8"/>
      <name val="Arial"/>
      <family val="0"/>
    </font>
    <font>
      <b/>
      <sz val="9"/>
      <color indexed="8"/>
      <name val="Calibri"/>
      <family val="0"/>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theme="0" tint="-0.3499799966812134"/>
      <name val="Arial"/>
      <family val="2"/>
    </font>
    <font>
      <b/>
      <sz val="8"/>
      <color theme="0" tint="-0.3499799966812134"/>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sz val="8"/>
      <color rgb="FFA6A6A6"/>
      <name val="Arial"/>
      <family val="2"/>
    </font>
    <font>
      <b/>
      <sz val="8"/>
      <color rgb="FFA6A6A6"/>
      <name val="Arial"/>
      <family val="2"/>
    </font>
    <font>
      <b/>
      <sz val="8"/>
      <color rgb="FF808080"/>
      <name val="Arial"/>
      <family val="2"/>
    </font>
    <font>
      <i/>
      <sz val="8"/>
      <color rgb="FF000000"/>
      <name val="Arial"/>
      <family val="2"/>
    </font>
    <font>
      <sz val="8"/>
      <color theme="1"/>
      <name val="Arial"/>
      <family val="2"/>
    </font>
    <font>
      <sz val="10"/>
      <color rgb="FFFF0000"/>
      <name val="Arial"/>
      <family val="2"/>
    </font>
    <font>
      <sz val="8"/>
      <color theme="1" tint="0.4999800026416778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
      <patternFill patternType="solid">
        <fgColor rgb="FFEBF1DE"/>
        <bgColor indexed="64"/>
      </patternFill>
    </fill>
    <fill>
      <patternFill patternType="solid">
        <fgColor rgb="FFFFC000"/>
        <bgColor indexed="64"/>
      </patternFill>
    </fill>
    <fill>
      <patternFill patternType="solid">
        <fgColor rgb="FFD7E4B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mediumDashDotDot"/>
      <top style="hair"/>
      <bottom>
        <color indexed="63"/>
      </bottom>
    </border>
    <border>
      <left style="hair"/>
      <right style="mediumDashDotDo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hair"/>
      <bottom>
        <color indexed="63"/>
      </bottom>
    </border>
    <border>
      <left style="hair"/>
      <right style="dashDotDo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medium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mediumDashDotDot"/>
      <right>
        <color indexed="63"/>
      </right>
      <top style="hair"/>
      <bottom style="hair"/>
    </border>
    <border>
      <left style="mediumDashDotDot"/>
      <right style="mediumDashDotDot"/>
      <top>
        <color indexed="63"/>
      </top>
      <bottom>
        <color indexed="63"/>
      </bottom>
    </border>
    <border>
      <left>
        <color indexed="63"/>
      </left>
      <right>
        <color indexed="63"/>
      </right>
      <top style="hair"/>
      <bottom style="hair"/>
    </border>
    <border>
      <left>
        <color indexed="63"/>
      </left>
      <right style="mediumDashDotDot"/>
      <top style="hair"/>
      <bottom style="hair"/>
    </border>
    <border>
      <left>
        <color indexed="63"/>
      </left>
      <right style="dashDotDot"/>
      <top style="hair"/>
      <bottom style="hair"/>
    </border>
    <border>
      <left style="dashDotDot"/>
      <right>
        <color indexed="63"/>
      </right>
      <top style="hair"/>
      <bottom style="hair"/>
    </border>
    <border>
      <left style="mediumDashDotDot"/>
      <right>
        <color indexed="63"/>
      </right>
      <top style="hair"/>
      <bottom>
        <color indexed="63"/>
      </bottom>
    </border>
    <border>
      <left style="mediumDashDotDot"/>
      <right>
        <color indexed="63"/>
      </right>
      <top>
        <color indexed="63"/>
      </top>
      <bottom style="hair"/>
    </border>
    <border>
      <left style="mediumDashDotDot"/>
      <right style="mediumDashDotDot"/>
      <top style="hair"/>
      <bottom>
        <color indexed="63"/>
      </bottom>
    </border>
    <border>
      <left style="mediumDashDotDot"/>
      <right style="mediumDashDotDot"/>
      <top>
        <color indexed="63"/>
      </top>
      <bottom style="hair"/>
    </border>
    <border>
      <left>
        <color indexed="63"/>
      </left>
      <right style="mediumDashDotDot"/>
      <top>
        <color indexed="63"/>
      </top>
      <bottom>
        <color indexed="63"/>
      </bottom>
    </border>
    <border>
      <left>
        <color indexed="63"/>
      </left>
      <right style="mediumDashDotDo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475">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198" fontId="5" fillId="0" borderId="15"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0" fontId="5" fillId="0" borderId="12" xfId="0" applyFont="1" applyFill="1" applyBorder="1" applyAlignment="1">
      <alignment horizontal="lef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0" xfId="0" applyNumberFormat="1" applyFont="1" applyFill="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70" fillId="0" borderId="0" xfId="0" applyFont="1" applyFill="1" applyAlignment="1">
      <alignment vertical="top" wrapText="1"/>
    </xf>
    <xf numFmtId="0" fontId="6" fillId="0" borderId="0" xfId="0" applyFont="1" applyFill="1" applyAlignment="1">
      <alignment horizontal="right" vertical="center"/>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16"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10" borderId="13"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2" xfId="0" applyNumberFormat="1" applyFont="1" applyFill="1" applyBorder="1" applyAlignment="1">
      <alignment horizontal="right" vertical="center"/>
    </xf>
    <xf numFmtId="198" fontId="4" fillId="10" borderId="20" xfId="0" applyNumberFormat="1" applyFont="1" applyFill="1" applyBorder="1" applyAlignment="1">
      <alignment horizontal="right" vertical="center"/>
    </xf>
    <xf numFmtId="198" fontId="4" fillId="4" borderId="11" xfId="0" applyNumberFormat="1" applyFont="1" applyFill="1" applyBorder="1" applyAlignment="1">
      <alignment horizontal="right" vertical="center"/>
    </xf>
    <xf numFmtId="198" fontId="4" fillId="4" borderId="12" xfId="0" applyNumberFormat="1" applyFont="1" applyFill="1" applyBorder="1" applyAlignment="1">
      <alignment horizontal="right" vertical="center"/>
    </xf>
    <xf numFmtId="198" fontId="4" fillId="4" borderId="15" xfId="0" applyNumberFormat="1" applyFont="1" applyFill="1" applyBorder="1" applyAlignment="1">
      <alignment horizontal="right" vertical="center"/>
    </xf>
    <xf numFmtId="198" fontId="4" fillId="4" borderId="15" xfId="0" applyNumberFormat="1" applyFont="1" applyFill="1" applyBorder="1" applyAlignment="1">
      <alignment horizontal="center" vertical="center"/>
    </xf>
    <xf numFmtId="0" fontId="5" fillId="0" borderId="16" xfId="0" applyFont="1" applyFill="1" applyBorder="1" applyAlignment="1">
      <alignment horizontal="left" vertical="center" indent="1"/>
    </xf>
    <xf numFmtId="1" fontId="2" fillId="0" borderId="11" xfId="0" applyNumberFormat="1" applyFont="1" applyFill="1" applyBorder="1" applyAlignment="1">
      <alignment horizontal="right" vertical="center"/>
    </xf>
    <xf numFmtId="1" fontId="2"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2" fillId="0" borderId="0" xfId="0" applyFont="1" applyBorder="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49" fontId="5" fillId="0" borderId="15" xfId="47"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20" fontId="5" fillId="0" borderId="0" xfId="0" applyNumberFormat="1" applyFont="1" applyFill="1" applyAlignment="1">
      <alignment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23" xfId="0" applyFont="1" applyFill="1" applyBorder="1" applyAlignment="1">
      <alignment vertical="center" wrapText="1"/>
    </xf>
    <xf numFmtId="0" fontId="4" fillId="0" borderId="23" xfId="0" applyFont="1" applyFill="1" applyBorder="1" applyAlignment="1">
      <alignment vertical="center"/>
    </xf>
    <xf numFmtId="0" fontId="4" fillId="0" borderId="23" xfId="0" applyFont="1" applyFill="1" applyBorder="1" applyAlignment="1">
      <alignment vertical="center" wrapText="1"/>
    </xf>
    <xf numFmtId="187" fontId="71" fillId="0" borderId="11" xfId="56" applyNumberFormat="1" applyFont="1" applyFill="1" applyBorder="1" applyAlignment="1">
      <alignment horizontal="center"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98" fontId="9" fillId="10" borderId="22" xfId="0" applyNumberFormat="1" applyFont="1" applyFill="1" applyBorder="1" applyAlignment="1">
      <alignment horizontal="right" vertical="center"/>
    </xf>
    <xf numFmtId="198" fontId="2" fillId="0" borderId="12"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2" xfId="0" applyNumberFormat="1" applyFont="1" applyFill="1" applyBorder="1" applyAlignment="1">
      <alignment horizontal="right" vertical="center"/>
    </xf>
    <xf numFmtId="0" fontId="4" fillId="10" borderId="14" xfId="0" applyFont="1" applyFill="1" applyBorder="1" applyAlignment="1">
      <alignment horizontal="center" vertical="center" wrapText="1"/>
    </xf>
    <xf numFmtId="198" fontId="2" fillId="0" borderId="16" xfId="0" applyNumberFormat="1" applyFont="1" applyFill="1" applyBorder="1" applyAlignment="1">
      <alignment horizontal="right" vertical="center"/>
    </xf>
    <xf numFmtId="198" fontId="2" fillId="0" borderId="24" xfId="0" applyNumberFormat="1" applyFont="1" applyFill="1" applyBorder="1" applyAlignment="1">
      <alignment horizontal="right" vertical="center"/>
    </xf>
    <xf numFmtId="198" fontId="2" fillId="0" borderId="25" xfId="0" applyNumberFormat="1" applyFont="1" applyFill="1" applyBorder="1" applyAlignment="1">
      <alignment horizontal="right" vertical="center"/>
    </xf>
    <xf numFmtId="0" fontId="4" fillId="10" borderId="26" xfId="0" applyFont="1" applyFill="1" applyBorder="1" applyAlignment="1">
      <alignment horizontal="center" vertical="center" wrapText="1"/>
    </xf>
    <xf numFmtId="198" fontId="9" fillId="10" borderId="27" xfId="0" applyNumberFormat="1" applyFont="1" applyFill="1" applyBorder="1" applyAlignment="1">
      <alignment horizontal="right" vertical="center"/>
    </xf>
    <xf numFmtId="198" fontId="9" fillId="4" borderId="24"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71" fillId="0" borderId="11" xfId="0" applyNumberFormat="1" applyFont="1" applyFill="1" applyBorder="1" applyAlignment="1">
      <alignment horizontal="right" vertical="center"/>
    </xf>
    <xf numFmtId="209" fontId="2" fillId="0" borderId="2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4"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27" xfId="0" applyNumberFormat="1" applyFont="1" applyFill="1" applyBorder="1" applyAlignment="1">
      <alignment horizontal="right" vertical="center"/>
    </xf>
    <xf numFmtId="214" fontId="2" fillId="0" borderId="24" xfId="0" applyNumberFormat="1" applyFont="1" applyFill="1" applyBorder="1" applyAlignment="1">
      <alignment horizontal="right" vertical="center"/>
    </xf>
    <xf numFmtId="0" fontId="0" fillId="0" borderId="0" xfId="55">
      <alignment/>
      <protection/>
    </xf>
    <xf numFmtId="0" fontId="0" fillId="0" borderId="0" xfId="0" applyFont="1" applyFill="1" applyAlignment="1">
      <alignment/>
    </xf>
    <xf numFmtId="0" fontId="4" fillId="0" borderId="19" xfId="0" applyFont="1" applyFill="1" applyBorder="1" applyAlignment="1">
      <alignment horizontal="left" vertical="center" wrapText="1"/>
    </xf>
    <xf numFmtId="0" fontId="4" fillId="0" borderId="19" xfId="0" applyFont="1" applyFill="1" applyBorder="1" applyAlignment="1">
      <alignment vertical="center"/>
    </xf>
    <xf numFmtId="0" fontId="4" fillId="0" borderId="19" xfId="0" applyFont="1" applyFill="1" applyBorder="1" applyAlignment="1">
      <alignment horizontal="center" vertical="center"/>
    </xf>
    <xf numFmtId="0" fontId="9" fillId="0" borderId="19"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198" fontId="72" fillId="4" borderId="11" xfId="0" applyNumberFormat="1" applyFont="1" applyFill="1" applyBorder="1" applyAlignment="1">
      <alignment horizontal="right" vertical="center"/>
    </xf>
    <xf numFmtId="198" fontId="72" fillId="10" borderId="10" xfId="0" applyNumberFormat="1" applyFont="1" applyFill="1" applyBorder="1" applyAlignment="1">
      <alignment horizontal="right" vertical="center"/>
    </xf>
    <xf numFmtId="0" fontId="4" fillId="0" borderId="0" xfId="0" applyFont="1" applyFill="1" applyBorder="1" applyAlignment="1">
      <alignment vertical="center" wrapText="1"/>
    </xf>
    <xf numFmtId="3" fontId="5" fillId="0" borderId="0" xfId="0" applyNumberFormat="1" applyFont="1" applyFill="1" applyBorder="1" applyAlignment="1">
      <alignment horizontal="left" vertical="center"/>
    </xf>
    <xf numFmtId="3" fontId="72" fillId="0" borderId="0" xfId="0" applyNumberFormat="1" applyFont="1" applyFill="1" applyBorder="1" applyAlignment="1">
      <alignment vertical="center"/>
    </xf>
    <xf numFmtId="3" fontId="72"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10" borderId="10" xfId="57" applyNumberFormat="1" applyFont="1" applyFill="1" applyBorder="1" applyAlignment="1">
      <alignment horizontal="center" vertical="center"/>
    </xf>
    <xf numFmtId="1" fontId="9" fillId="10" borderId="29"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29"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29" xfId="57" applyNumberFormat="1" applyFont="1" applyFill="1" applyBorder="1" applyAlignment="1">
      <alignment horizontal="center" vertical="center"/>
    </xf>
    <xf numFmtId="1" fontId="9" fillId="10" borderId="10" xfId="57" applyNumberFormat="1" applyFont="1" applyFill="1" applyBorder="1" applyAlignment="1">
      <alignment horizontal="center"/>
    </xf>
    <xf numFmtId="0" fontId="16" fillId="0" borderId="10" xfId="0" applyFont="1" applyBorder="1" applyAlignment="1">
      <alignment horizontal="lef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55" applyFont="1" applyAlignment="1">
      <alignment vertical="center" wrapText="1"/>
      <protection/>
    </xf>
    <xf numFmtId="0" fontId="4" fillId="0" borderId="19"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6" xfId="55" applyFont="1" applyFill="1" applyBorder="1" applyAlignment="1">
      <alignment horizontal="left" vertical="center"/>
      <protection/>
    </xf>
    <xf numFmtId="0" fontId="4" fillId="10" borderId="10"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77" fillId="36" borderId="10" xfId="0" applyFont="1" applyFill="1" applyBorder="1" applyAlignment="1">
      <alignment horizontal="center" vertical="center" wrapText="1"/>
    </xf>
    <xf numFmtId="3" fontId="9" fillId="36" borderId="10" xfId="0" applyNumberFormat="1" applyFont="1" applyFill="1" applyBorder="1" applyAlignment="1">
      <alignment vertical="center"/>
    </xf>
    <xf numFmtId="3" fontId="77" fillId="36" borderId="10" xfId="0" applyNumberFormat="1" applyFont="1" applyFill="1" applyBorder="1" applyAlignment="1">
      <alignment vertical="center"/>
    </xf>
    <xf numFmtId="1" fontId="77" fillId="36" borderId="10" xfId="56" applyNumberFormat="1" applyFont="1" applyFill="1" applyBorder="1" applyAlignment="1">
      <alignment horizontal="right" vertical="center" indent="2"/>
    </xf>
    <xf numFmtId="3" fontId="2" fillId="0" borderId="13" xfId="56" applyNumberFormat="1" applyFont="1" applyFill="1" applyBorder="1" applyAlignment="1">
      <alignment vertical="center"/>
    </xf>
    <xf numFmtId="3" fontId="78" fillId="0" borderId="13" xfId="56" applyNumberFormat="1" applyFont="1" applyFill="1" applyBorder="1" applyAlignment="1">
      <alignment vertical="center"/>
    </xf>
    <xf numFmtId="1" fontId="78" fillId="0" borderId="13" xfId="56" applyNumberFormat="1" applyFont="1" applyFill="1" applyBorder="1" applyAlignment="1">
      <alignment horizontal="right" vertical="center" indent="2"/>
    </xf>
    <xf numFmtId="3" fontId="2" fillId="0" borderId="11" xfId="56" applyNumberFormat="1" applyFont="1" applyFill="1" applyBorder="1" applyAlignment="1">
      <alignment vertical="center"/>
    </xf>
    <xf numFmtId="3" fontId="78" fillId="0" borderId="11" xfId="56" applyNumberFormat="1" applyFont="1" applyFill="1" applyBorder="1" applyAlignment="1">
      <alignment vertical="center"/>
    </xf>
    <xf numFmtId="1" fontId="78" fillId="0" borderId="11" xfId="56" applyNumberFormat="1" applyFont="1" applyFill="1" applyBorder="1" applyAlignment="1">
      <alignment horizontal="right" vertical="center" indent="2"/>
    </xf>
    <xf numFmtId="3" fontId="79" fillId="0" borderId="16" xfId="47" applyNumberFormat="1" applyFont="1" applyFill="1" applyBorder="1" applyAlignment="1">
      <alignment horizontal="right" vertical="center"/>
    </xf>
    <xf numFmtId="3" fontId="79" fillId="0" borderId="16" xfId="56" applyNumberFormat="1" applyFont="1" applyFill="1" applyBorder="1" applyAlignment="1">
      <alignment vertical="center"/>
    </xf>
    <xf numFmtId="3" fontId="78" fillId="0" borderId="16" xfId="56" applyNumberFormat="1" applyFont="1" applyFill="1" applyBorder="1" applyAlignment="1">
      <alignment vertical="center"/>
    </xf>
    <xf numFmtId="3" fontId="80" fillId="36" borderId="10" xfId="0" applyNumberFormat="1" applyFont="1" applyFill="1" applyBorder="1" applyAlignment="1">
      <alignment horizontal="right" vertical="center"/>
    </xf>
    <xf numFmtId="3" fontId="80" fillId="36" borderId="10" xfId="0" applyNumberFormat="1" applyFont="1" applyFill="1" applyBorder="1" applyAlignment="1">
      <alignment vertical="center"/>
    </xf>
    <xf numFmtId="3" fontId="2" fillId="37" borderId="13" xfId="0" applyNumberFormat="1" applyFont="1" applyFill="1" applyBorder="1" applyAlignment="1">
      <alignment horizontal="right" vertical="center"/>
    </xf>
    <xf numFmtId="3" fontId="2" fillId="37" borderId="13" xfId="56" applyNumberFormat="1" applyFont="1" applyFill="1" applyBorder="1" applyAlignment="1">
      <alignment vertical="center"/>
    </xf>
    <xf numFmtId="3" fontId="78" fillId="37" borderId="13" xfId="56" applyNumberFormat="1" applyFont="1" applyFill="1" applyBorder="1" applyAlignment="1">
      <alignment vertical="center"/>
    </xf>
    <xf numFmtId="1" fontId="78" fillId="37" borderId="11" xfId="56" applyNumberFormat="1" applyFont="1" applyFill="1" applyBorder="1" applyAlignment="1">
      <alignment horizontal="right" vertical="center" indent="2"/>
    </xf>
    <xf numFmtId="1" fontId="2" fillId="0" borderId="11" xfId="56" applyNumberFormat="1" applyFont="1" applyFill="1" applyBorder="1" applyAlignment="1">
      <alignment horizontal="right" vertical="center" indent="2"/>
    </xf>
    <xf numFmtId="3" fontId="79" fillId="37" borderId="11" xfId="0" applyNumberFormat="1" applyFont="1" applyFill="1" applyBorder="1" applyAlignment="1">
      <alignment horizontal="right" vertical="center"/>
    </xf>
    <xf numFmtId="3" fontId="79" fillId="37" borderId="11" xfId="56" applyNumberFormat="1" applyFont="1" applyFill="1" applyBorder="1" applyAlignment="1">
      <alignment vertical="center"/>
    </xf>
    <xf numFmtId="3" fontId="78" fillId="37" borderId="11" xfId="56" applyNumberFormat="1" applyFont="1" applyFill="1" applyBorder="1" applyAlignment="1">
      <alignment vertical="center"/>
    </xf>
    <xf numFmtId="3" fontId="79" fillId="0" borderId="11" xfId="47" applyNumberFormat="1" applyFont="1" applyFill="1" applyBorder="1" applyAlignment="1">
      <alignment horizontal="center" vertical="center"/>
    </xf>
    <xf numFmtId="3" fontId="79" fillId="0" borderId="11" xfId="56" applyNumberFormat="1" applyFont="1" applyFill="1" applyBorder="1" applyAlignment="1">
      <alignment horizontal="center" vertical="center"/>
    </xf>
    <xf numFmtId="3" fontId="79" fillId="0" borderId="11" xfId="47" applyNumberFormat="1" applyFont="1" applyFill="1" applyBorder="1" applyAlignment="1">
      <alignment horizontal="right" vertical="center"/>
    </xf>
    <xf numFmtId="3" fontId="79" fillId="0" borderId="11" xfId="56" applyNumberFormat="1" applyFont="1" applyFill="1" applyBorder="1" applyAlignment="1">
      <alignment vertical="center"/>
    </xf>
    <xf numFmtId="187" fontId="81" fillId="36" borderId="10" xfId="56" applyNumberFormat="1" applyFont="1" applyFill="1" applyBorder="1" applyAlignment="1">
      <alignment horizontal="center" vertical="center"/>
    </xf>
    <xf numFmtId="187" fontId="77" fillId="36" borderId="10" xfId="56" applyNumberFormat="1" applyFont="1" applyFill="1" applyBorder="1" applyAlignment="1">
      <alignment horizontal="center" vertical="center"/>
    </xf>
    <xf numFmtId="3" fontId="78" fillId="0" borderId="13" xfId="0" applyNumberFormat="1" applyFont="1" applyFill="1" applyBorder="1" applyAlignment="1">
      <alignment horizontal="right" vertical="center"/>
    </xf>
    <xf numFmtId="3" fontId="78" fillId="0" borderId="11" xfId="47" applyNumberFormat="1" applyFont="1" applyFill="1" applyBorder="1" applyAlignment="1">
      <alignment horizontal="right" vertical="center"/>
    </xf>
    <xf numFmtId="3" fontId="78" fillId="0" borderId="16" xfId="47" applyNumberFormat="1" applyFont="1" applyFill="1" applyBorder="1" applyAlignment="1">
      <alignment horizontal="right" vertical="center"/>
    </xf>
    <xf numFmtId="3" fontId="77" fillId="36" borderId="10" xfId="0" applyNumberFormat="1" applyFont="1" applyFill="1" applyBorder="1" applyAlignment="1">
      <alignment horizontal="right" vertical="center"/>
    </xf>
    <xf numFmtId="3" fontId="78" fillId="37" borderId="13" xfId="0" applyNumberFormat="1" applyFont="1" applyFill="1" applyBorder="1" applyAlignment="1">
      <alignment horizontal="right" vertical="center"/>
    </xf>
    <xf numFmtId="3" fontId="78" fillId="37" borderId="11" xfId="0" applyNumberFormat="1" applyFont="1" applyFill="1" applyBorder="1" applyAlignment="1">
      <alignment horizontal="right" vertical="center"/>
    </xf>
    <xf numFmtId="3" fontId="77" fillId="36" borderId="10" xfId="56" applyNumberFormat="1" applyFont="1" applyFill="1" applyBorder="1" applyAlignment="1">
      <alignment vertical="center"/>
    </xf>
    <xf numFmtId="0" fontId="77" fillId="36" borderId="23" xfId="0" applyFont="1" applyFill="1" applyBorder="1" applyAlignment="1">
      <alignment vertical="center"/>
    </xf>
    <xf numFmtId="171" fontId="78" fillId="0" borderId="23" xfId="0" applyNumberFormat="1" applyFont="1" applyFill="1" applyBorder="1" applyAlignment="1">
      <alignment vertical="center"/>
    </xf>
    <xf numFmtId="171" fontId="78" fillId="0" borderId="23" xfId="0" applyNumberFormat="1" applyFont="1" applyFill="1" applyBorder="1" applyAlignment="1">
      <alignment vertical="center" wrapText="1"/>
    </xf>
    <xf numFmtId="14" fontId="77" fillId="36" borderId="10" xfId="0" applyNumberFormat="1" applyFont="1" applyFill="1" applyBorder="1" applyAlignment="1" quotePrefix="1">
      <alignment horizontal="center" vertical="center" wrapText="1"/>
    </xf>
    <xf numFmtId="0" fontId="77" fillId="36" borderId="10" xfId="0" applyFont="1" applyFill="1" applyBorder="1" applyAlignment="1">
      <alignment horizontal="center" vertical="center" textRotation="90" wrapText="1"/>
    </xf>
    <xf numFmtId="0" fontId="77" fillId="36" borderId="10" xfId="0" applyFont="1" applyFill="1" applyBorder="1" applyAlignment="1">
      <alignment horizontal="center" vertical="center" textRotation="90"/>
    </xf>
    <xf numFmtId="3" fontId="9" fillId="36" borderId="10" xfId="0" applyNumberFormat="1" applyFont="1" applyFill="1" applyBorder="1" applyAlignment="1">
      <alignment horizontal="right" vertical="center"/>
    </xf>
    <xf numFmtId="3" fontId="77" fillId="36" borderId="10" xfId="0" applyNumberFormat="1" applyFont="1" applyFill="1" applyBorder="1" applyAlignment="1">
      <alignment horizontal="right" vertical="center" indent="1"/>
    </xf>
    <xf numFmtId="3" fontId="78" fillId="0" borderId="11" xfId="0" applyNumberFormat="1" applyFont="1" applyFill="1" applyBorder="1" applyAlignment="1">
      <alignment horizontal="right" vertical="center"/>
    </xf>
    <xf numFmtId="3" fontId="78" fillId="0" borderId="11" xfId="0" applyNumberFormat="1" applyFont="1" applyFill="1" applyBorder="1" applyAlignment="1">
      <alignment horizontal="right" vertical="center" indent="1"/>
    </xf>
    <xf numFmtId="1" fontId="78" fillId="0" borderId="11" xfId="0" applyNumberFormat="1" applyFont="1" applyFill="1" applyBorder="1" applyAlignment="1">
      <alignment horizontal="right" vertical="center"/>
    </xf>
    <xf numFmtId="1" fontId="78" fillId="0" borderId="11" xfId="0" applyNumberFormat="1" applyFont="1" applyFill="1" applyBorder="1" applyAlignment="1">
      <alignment horizontal="right" vertical="center" indent="1"/>
    </xf>
    <xf numFmtId="3" fontId="9" fillId="37" borderId="11" xfId="0" applyNumberFormat="1" applyFont="1" applyFill="1" applyBorder="1" applyAlignment="1">
      <alignment horizontal="right" vertical="center"/>
    </xf>
    <xf numFmtId="3" fontId="77" fillId="37" borderId="11" xfId="0" applyNumberFormat="1" applyFont="1" applyFill="1" applyBorder="1" applyAlignment="1">
      <alignment horizontal="right" vertical="center"/>
    </xf>
    <xf numFmtId="3" fontId="77" fillId="37" borderId="11" xfId="0" applyNumberFormat="1" applyFont="1" applyFill="1" applyBorder="1" applyAlignment="1">
      <alignment horizontal="right" vertical="center" indent="1"/>
    </xf>
    <xf numFmtId="3" fontId="17" fillId="0" borderId="11" xfId="0" applyNumberFormat="1" applyFont="1" applyFill="1" applyBorder="1" applyAlignment="1">
      <alignment horizontal="right" vertical="center"/>
    </xf>
    <xf numFmtId="3" fontId="8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wrapText="1"/>
    </xf>
    <xf numFmtId="1" fontId="77" fillId="36" borderId="13" xfId="0" applyNumberFormat="1" applyFont="1" applyFill="1" applyBorder="1" applyAlignment="1">
      <alignment horizontal="center" vertical="center" wrapText="1"/>
    </xf>
    <xf numFmtId="1" fontId="77" fillId="36" borderId="31" xfId="0" applyNumberFormat="1" applyFont="1" applyFill="1" applyBorder="1" applyAlignment="1">
      <alignment horizontal="center" vertical="center" wrapText="1"/>
    </xf>
    <xf numFmtId="1" fontId="77" fillId="36" borderId="32" xfId="0" applyNumberFormat="1" applyFont="1" applyFill="1" applyBorder="1" applyAlignment="1">
      <alignment horizontal="center" vertical="center" wrapText="1"/>
    </xf>
    <xf numFmtId="193" fontId="77" fillId="36" borderId="10" xfId="56" applyNumberFormat="1" applyFont="1" applyFill="1" applyBorder="1" applyAlignment="1">
      <alignment vertical="center"/>
    </xf>
    <xf numFmtId="3" fontId="77" fillId="36" borderId="29" xfId="0" applyNumberFormat="1" applyFont="1" applyFill="1" applyBorder="1" applyAlignment="1">
      <alignment horizontal="center" vertical="center"/>
    </xf>
    <xf numFmtId="3" fontId="77" fillId="36" borderId="10" xfId="0" applyNumberFormat="1" applyFont="1" applyFill="1" applyBorder="1" applyAlignment="1">
      <alignment horizontal="center" vertical="center"/>
    </xf>
    <xf numFmtId="193" fontId="78" fillId="0" borderId="11" xfId="0" applyNumberFormat="1" applyFont="1" applyFill="1" applyBorder="1" applyAlignment="1">
      <alignment vertical="center"/>
    </xf>
    <xf numFmtId="193" fontId="78" fillId="0" borderId="11" xfId="56" applyNumberFormat="1" applyFont="1" applyFill="1" applyBorder="1" applyAlignment="1">
      <alignment vertical="center"/>
    </xf>
    <xf numFmtId="3" fontId="78" fillId="0" borderId="28" xfId="0" applyNumberFormat="1" applyFont="1" applyFill="1" applyBorder="1" applyAlignment="1">
      <alignment horizontal="center" vertical="center"/>
    </xf>
    <xf numFmtId="3" fontId="78" fillId="0" borderId="11" xfId="0" applyNumberFormat="1" applyFont="1" applyFill="1" applyBorder="1" applyAlignment="1">
      <alignment horizontal="center" vertical="center"/>
    </xf>
    <xf numFmtId="193" fontId="78" fillId="0" borderId="16" xfId="0" applyNumberFormat="1" applyFont="1" applyFill="1" applyBorder="1" applyAlignment="1">
      <alignment vertical="center"/>
    </xf>
    <xf numFmtId="193" fontId="78" fillId="0" borderId="16" xfId="56" applyNumberFormat="1" applyFont="1" applyFill="1" applyBorder="1" applyAlignment="1">
      <alignment vertical="center"/>
    </xf>
    <xf numFmtId="3" fontId="78" fillId="0" borderId="19" xfId="0" applyNumberFormat="1" applyFont="1" applyFill="1" applyBorder="1" applyAlignment="1">
      <alignment horizontal="center" vertical="center"/>
    </xf>
    <xf numFmtId="3" fontId="78" fillId="0" borderId="16" xfId="0" applyNumberFormat="1" applyFont="1" applyFill="1" applyBorder="1" applyAlignment="1">
      <alignment horizontal="center" vertical="center"/>
    </xf>
    <xf numFmtId="193" fontId="77" fillId="36" borderId="10" xfId="0" applyNumberFormat="1" applyFont="1" applyFill="1" applyBorder="1" applyAlignment="1">
      <alignment horizontal="center" vertical="center"/>
    </xf>
    <xf numFmtId="193" fontId="77" fillId="37" borderId="11" xfId="0" applyNumberFormat="1" applyFont="1" applyFill="1" applyBorder="1" applyAlignment="1">
      <alignment vertical="center"/>
    </xf>
    <xf numFmtId="193" fontId="77" fillId="37" borderId="11" xfId="56" applyNumberFormat="1" applyFont="1" applyFill="1" applyBorder="1" applyAlignment="1">
      <alignment vertical="center"/>
    </xf>
    <xf numFmtId="3" fontId="77" fillId="37" borderId="28" xfId="0" applyNumberFormat="1" applyFont="1" applyFill="1" applyBorder="1" applyAlignment="1">
      <alignment horizontal="center" vertical="center"/>
    </xf>
    <xf numFmtId="3" fontId="77" fillId="37" borderId="11" xfId="0" applyNumberFormat="1" applyFont="1" applyFill="1" applyBorder="1" applyAlignment="1">
      <alignment horizontal="center" vertical="center"/>
    </xf>
    <xf numFmtId="193" fontId="77" fillId="37" borderId="11" xfId="0" applyNumberFormat="1" applyFont="1" applyFill="1" applyBorder="1" applyAlignment="1">
      <alignment horizontal="center" vertical="center"/>
    </xf>
    <xf numFmtId="193" fontId="78" fillId="0" borderId="11" xfId="56" applyNumberFormat="1" applyFont="1" applyFill="1" applyBorder="1" applyAlignment="1">
      <alignment horizontal="center" vertical="center"/>
    </xf>
    <xf numFmtId="191" fontId="78" fillId="0" borderId="28" xfId="0" applyNumberFormat="1" applyFont="1" applyFill="1" applyBorder="1" applyAlignment="1">
      <alignment horizontal="center" vertical="center"/>
    </xf>
    <xf numFmtId="191" fontId="78" fillId="0" borderId="11" xfId="0" applyNumberFormat="1" applyFont="1" applyFill="1" applyBorder="1" applyAlignment="1">
      <alignment horizontal="center" vertical="center"/>
    </xf>
    <xf numFmtId="1" fontId="9" fillId="0" borderId="10" xfId="57" applyNumberFormat="1" applyFont="1" applyFill="1" applyBorder="1" applyAlignment="1">
      <alignment horizontal="center" vertical="center" wrapText="1"/>
    </xf>
    <xf numFmtId="1" fontId="2" fillId="0" borderId="10" xfId="57" applyNumberFormat="1" applyFont="1" applyFill="1" applyBorder="1" applyAlignment="1">
      <alignment horizontal="center" vertical="center" wrapText="1"/>
    </xf>
    <xf numFmtId="1" fontId="83" fillId="0" borderId="10" xfId="57" applyNumberFormat="1" applyFont="1" applyFill="1" applyBorder="1" applyAlignment="1">
      <alignment horizontal="center" vertical="center" wrapText="1"/>
    </xf>
    <xf numFmtId="1" fontId="5" fillId="0" borderId="10" xfId="57" applyNumberFormat="1" applyFont="1" applyFill="1" applyBorder="1" applyAlignment="1">
      <alignment horizontal="center" vertical="center"/>
    </xf>
    <xf numFmtId="1" fontId="5" fillId="0" borderId="10" xfId="57" applyNumberFormat="1" applyFont="1" applyFill="1" applyBorder="1" applyAlignment="1">
      <alignment horizontal="center" vertical="center" wrapText="1"/>
    </xf>
    <xf numFmtId="198" fontId="9" fillId="10" borderId="21"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xf>
    <xf numFmtId="171" fontId="2" fillId="0" borderId="10" xfId="0" applyNumberFormat="1" applyFont="1" applyBorder="1" applyAlignment="1">
      <alignment horizontal="right" vertical="center" indent="2"/>
    </xf>
    <xf numFmtId="0" fontId="5" fillId="0" borderId="30" xfId="0" applyFont="1" applyFill="1" applyBorder="1" applyAlignment="1">
      <alignment horizontal="left" vertical="center"/>
    </xf>
    <xf numFmtId="0" fontId="5" fillId="0" borderId="12"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0" fontId="4" fillId="0" borderId="17" xfId="0" applyFont="1" applyFill="1" applyBorder="1" applyAlignment="1">
      <alignment horizontal="left" vertical="center"/>
    </xf>
    <xf numFmtId="1" fontId="9" fillId="0" borderId="16" xfId="0" applyNumberFormat="1" applyFont="1" applyBorder="1" applyAlignment="1">
      <alignment horizontal="center" vertical="center"/>
    </xf>
    <xf numFmtId="0" fontId="1" fillId="0" borderId="0" xfId="45" applyAlignment="1" applyProtection="1">
      <alignment/>
      <protection/>
    </xf>
    <xf numFmtId="0" fontId="4" fillId="10" borderId="34" xfId="0" applyFont="1" applyFill="1" applyBorder="1" applyAlignment="1">
      <alignment horizontal="center" vertical="center" wrapText="1"/>
    </xf>
    <xf numFmtId="0" fontId="11" fillId="0" borderId="0" xfId="0" applyFont="1" applyAlignment="1">
      <alignment/>
    </xf>
    <xf numFmtId="166" fontId="0" fillId="0" borderId="0" xfId="56" applyNumberFormat="1" applyFont="1" applyAlignment="1">
      <alignment/>
    </xf>
    <xf numFmtId="2" fontId="0" fillId="0" borderId="0" xfId="0" applyNumberFormat="1" applyAlignment="1">
      <alignment/>
    </xf>
    <xf numFmtId="0" fontId="84" fillId="0" borderId="0" xfId="0" applyFont="1" applyAlignment="1">
      <alignment/>
    </xf>
    <xf numFmtId="171" fontId="77" fillId="36" borderId="10" xfId="56" applyNumberFormat="1" applyFont="1" applyFill="1" applyBorder="1" applyAlignment="1">
      <alignment horizontal="right" vertical="center" indent="2"/>
    </xf>
    <xf numFmtId="171" fontId="78" fillId="0" borderId="13" xfId="56" applyNumberFormat="1" applyFont="1" applyFill="1" applyBorder="1" applyAlignment="1">
      <alignment horizontal="right" vertical="center" indent="2"/>
    </xf>
    <xf numFmtId="171" fontId="78" fillId="0" borderId="11" xfId="56" applyNumberFormat="1" applyFont="1" applyFill="1" applyBorder="1" applyAlignment="1">
      <alignment horizontal="right" vertical="center" indent="2"/>
    </xf>
    <xf numFmtId="171" fontId="78" fillId="37" borderId="11" xfId="56" applyNumberFormat="1" applyFont="1" applyFill="1" applyBorder="1" applyAlignment="1">
      <alignment horizontal="right" vertical="center" indent="2"/>
    </xf>
    <xf numFmtId="171" fontId="2" fillId="0" borderId="11" xfId="56" applyNumberFormat="1" applyFont="1" applyFill="1" applyBorder="1" applyAlignment="1">
      <alignment horizontal="right" vertical="center" indent="2"/>
    </xf>
    <xf numFmtId="171" fontId="77" fillId="36" borderId="10" xfId="56" applyNumberFormat="1" applyFont="1" applyFill="1" applyBorder="1" applyAlignment="1">
      <alignment horizontal="center" vertical="center"/>
    </xf>
    <xf numFmtId="171" fontId="2" fillId="0" borderId="24" xfId="0" applyNumberFormat="1" applyFont="1" applyFill="1" applyBorder="1" applyAlignment="1">
      <alignment horizontal="center" vertical="center"/>
    </xf>
    <xf numFmtId="171" fontId="5" fillId="0" borderId="12" xfId="0" applyNumberFormat="1" applyFont="1" applyFill="1" applyBorder="1" applyAlignment="1">
      <alignment horizontal="center" vertical="center"/>
    </xf>
    <xf numFmtId="171" fontId="9" fillId="10" borderId="27" xfId="0" applyNumberFormat="1" applyFont="1" applyFill="1" applyBorder="1" applyAlignment="1">
      <alignment horizontal="center" vertical="center"/>
    </xf>
    <xf numFmtId="171" fontId="4" fillId="10" borderId="22" xfId="0" applyNumberFormat="1" applyFont="1" applyFill="1" applyBorder="1" applyAlignment="1">
      <alignment horizontal="center" vertical="center"/>
    </xf>
    <xf numFmtId="171" fontId="9" fillId="4" borderId="24" xfId="0" applyNumberFormat="1" applyFont="1" applyFill="1" applyBorder="1" applyAlignment="1">
      <alignment horizontal="center" vertical="center"/>
    </xf>
    <xf numFmtId="171" fontId="4" fillId="4" borderId="12" xfId="0" applyNumberFormat="1" applyFont="1" applyFill="1" applyBorder="1" applyAlignment="1">
      <alignment horizontal="center" vertical="center"/>
    </xf>
    <xf numFmtId="171" fontId="4" fillId="10" borderId="27" xfId="0" applyNumberFormat="1" applyFont="1" applyFill="1" applyBorder="1" applyAlignment="1">
      <alignment horizontal="center" vertical="center"/>
    </xf>
    <xf numFmtId="171" fontId="9" fillId="10" borderId="22" xfId="0" applyNumberFormat="1" applyFont="1" applyFill="1" applyBorder="1" applyAlignment="1">
      <alignment horizontal="center" vertical="center"/>
    </xf>
    <xf numFmtId="171" fontId="78" fillId="0" borderId="11" xfId="56" applyNumberFormat="1" applyFont="1" applyFill="1" applyBorder="1" applyAlignment="1">
      <alignment horizontal="center" vertical="center"/>
    </xf>
    <xf numFmtId="171" fontId="77" fillId="37" borderId="11" xfId="56" applyNumberFormat="1" applyFont="1" applyFill="1" applyBorder="1" applyAlignment="1">
      <alignment horizontal="center" vertical="center"/>
    </xf>
    <xf numFmtId="171" fontId="78" fillId="0" borderId="11" xfId="0" applyNumberFormat="1" applyFont="1" applyFill="1" applyBorder="1" applyAlignment="1">
      <alignment horizontal="center" vertical="center"/>
    </xf>
    <xf numFmtId="1" fontId="77" fillId="36" borderId="10" xfId="56" applyNumberFormat="1" applyFont="1" applyFill="1" applyBorder="1" applyAlignment="1">
      <alignment horizontal="center" vertical="center"/>
    </xf>
    <xf numFmtId="176" fontId="77" fillId="36" borderId="35" xfId="0" applyNumberFormat="1" applyFont="1" applyFill="1" applyBorder="1" applyAlignment="1">
      <alignment horizontal="center" vertical="center"/>
    </xf>
    <xf numFmtId="176" fontId="77" fillId="37" borderId="36" xfId="0" applyNumberFormat="1" applyFont="1" applyFill="1" applyBorder="1" applyAlignment="1">
      <alignment horizontal="center" vertical="center"/>
    </xf>
    <xf numFmtId="176" fontId="78" fillId="0" borderId="11" xfId="56" applyNumberFormat="1" applyFont="1" applyFill="1" applyBorder="1" applyAlignment="1">
      <alignment horizontal="center" vertical="center"/>
    </xf>
    <xf numFmtId="176" fontId="77" fillId="36" borderId="35" xfId="56" applyNumberFormat="1" applyFont="1" applyFill="1" applyBorder="1" applyAlignment="1">
      <alignment horizontal="center" vertical="center"/>
    </xf>
    <xf numFmtId="176" fontId="78" fillId="0" borderId="36" xfId="56" applyNumberFormat="1" applyFont="1" applyFill="1" applyBorder="1" applyAlignment="1">
      <alignment horizontal="center" vertical="center"/>
    </xf>
    <xf numFmtId="176" fontId="78" fillId="0" borderId="37" xfId="56" applyNumberFormat="1" applyFont="1" applyFill="1" applyBorder="1" applyAlignment="1">
      <alignment horizontal="center" vertical="center"/>
    </xf>
    <xf numFmtId="176" fontId="77" fillId="37" borderId="36" xfId="56" applyNumberFormat="1" applyFont="1" applyFill="1" applyBorder="1" applyAlignment="1">
      <alignment horizontal="center" vertical="center"/>
    </xf>
    <xf numFmtId="171" fontId="9" fillId="10" borderId="38" xfId="56" applyNumberFormat="1" applyFont="1" applyFill="1" applyBorder="1" applyAlignment="1" quotePrefix="1">
      <alignment horizontal="center" vertical="center"/>
    </xf>
    <xf numFmtId="209" fontId="9" fillId="10" borderId="22" xfId="0" applyNumberFormat="1" applyFont="1" applyFill="1" applyBorder="1" applyAlignment="1">
      <alignment horizontal="center" vertical="center"/>
    </xf>
    <xf numFmtId="209" fontId="2" fillId="0" borderId="12" xfId="0" applyNumberFormat="1" applyFont="1" applyFill="1" applyBorder="1" applyAlignment="1">
      <alignment horizontal="center" vertical="center"/>
    </xf>
    <xf numFmtId="209" fontId="2" fillId="0" borderId="17" xfId="0" applyNumberFormat="1" applyFont="1" applyFill="1" applyBorder="1" applyAlignment="1">
      <alignment horizontal="center" vertical="center"/>
    </xf>
    <xf numFmtId="209" fontId="9" fillId="4" borderId="12" xfId="0" applyNumberFormat="1" applyFont="1" applyFill="1" applyBorder="1" applyAlignment="1">
      <alignment horizontal="center" vertical="center"/>
    </xf>
    <xf numFmtId="209" fontId="5" fillId="0" borderId="11" xfId="0" applyNumberFormat="1" applyFont="1" applyFill="1" applyBorder="1" applyAlignment="1">
      <alignment horizontal="center" vertical="center"/>
    </xf>
    <xf numFmtId="209" fontId="2" fillId="0" borderId="11" xfId="0" applyNumberFormat="1" applyFont="1" applyFill="1" applyBorder="1" applyAlignment="1">
      <alignment horizontal="center" vertical="center"/>
    </xf>
    <xf numFmtId="209" fontId="4" fillId="10" borderId="22" xfId="0" applyNumberFormat="1" applyFont="1" applyFill="1" applyBorder="1" applyAlignment="1">
      <alignment horizontal="center" vertical="center"/>
    </xf>
    <xf numFmtId="1" fontId="9" fillId="10" borderId="21" xfId="56" applyNumberFormat="1" applyFont="1" applyFill="1" applyBorder="1" applyAlignment="1" quotePrefix="1">
      <alignment horizontal="center" vertical="center"/>
    </xf>
    <xf numFmtId="1" fontId="2" fillId="0" borderId="39" xfId="0" applyNumberFormat="1" applyFont="1" applyFill="1" applyBorder="1" applyAlignment="1">
      <alignment horizontal="center" vertical="center"/>
    </xf>
    <xf numFmtId="1" fontId="9" fillId="4" borderId="39" xfId="56" applyNumberFormat="1" applyFont="1" applyFill="1" applyBorder="1" applyAlignment="1" quotePrefix="1">
      <alignment horizontal="center" vertical="center"/>
    </xf>
    <xf numFmtId="0" fontId="4" fillId="10" borderId="22" xfId="0" applyFont="1" applyFill="1" applyBorder="1" applyAlignment="1">
      <alignment horizontal="left" vertical="center" wrapText="1"/>
    </xf>
    <xf numFmtId="0" fontId="4" fillId="10" borderId="22" xfId="0" applyFont="1" applyFill="1" applyBorder="1" applyAlignment="1">
      <alignment vertical="center" wrapText="1"/>
    </xf>
    <xf numFmtId="0" fontId="4" fillId="4" borderId="12" xfId="0" applyFont="1" applyFill="1" applyBorder="1" applyAlignment="1">
      <alignment vertical="center" wrapText="1"/>
    </xf>
    <xf numFmtId="0" fontId="77" fillId="36" borderId="10" xfId="0" applyFont="1" applyFill="1" applyBorder="1" applyAlignment="1">
      <alignment horizontal="center" vertical="center" wrapText="1"/>
    </xf>
    <xf numFmtId="219" fontId="4" fillId="10" borderId="10" xfId="0" applyNumberFormat="1" applyFont="1" applyFill="1" applyBorder="1" applyAlignment="1">
      <alignment horizontal="center" vertical="center"/>
    </xf>
    <xf numFmtId="219" fontId="5" fillId="0" borderId="13" xfId="56" applyNumberFormat="1" applyFont="1" applyFill="1" applyBorder="1" applyAlignment="1">
      <alignment horizontal="center" vertical="center"/>
    </xf>
    <xf numFmtId="219" fontId="5" fillId="4" borderId="13" xfId="56" applyNumberFormat="1" applyFont="1" applyFill="1" applyBorder="1" applyAlignment="1">
      <alignment horizontal="center" vertical="center"/>
    </xf>
    <xf numFmtId="219" fontId="5" fillId="0" borderId="11" xfId="56" applyNumberFormat="1" applyFont="1" applyFill="1" applyBorder="1" applyAlignment="1">
      <alignment horizontal="center" vertical="center"/>
    </xf>
    <xf numFmtId="219" fontId="5" fillId="4" borderId="11" xfId="0" applyNumberFormat="1" applyFont="1" applyFill="1" applyBorder="1" applyAlignment="1">
      <alignment horizontal="center" vertical="center"/>
    </xf>
    <xf numFmtId="219" fontId="4" fillId="10" borderId="10" xfId="56" applyNumberFormat="1" applyFont="1" applyFill="1" applyBorder="1" applyAlignment="1">
      <alignment horizontal="center" vertical="center"/>
    </xf>
    <xf numFmtId="1" fontId="77" fillId="36" borderId="10" xfId="0" applyNumberFormat="1" applyFont="1" applyFill="1" applyBorder="1" applyAlignment="1">
      <alignment horizontal="center" vertical="center" wrapText="1"/>
    </xf>
    <xf numFmtId="1" fontId="82" fillId="0" borderId="11" xfId="0" applyNumberFormat="1" applyFont="1" applyFill="1" applyBorder="1" applyAlignment="1">
      <alignment horizontal="right" vertical="center" indent="1"/>
    </xf>
    <xf numFmtId="171" fontId="0" fillId="0" borderId="0" xfId="0" applyNumberFormat="1" applyAlignment="1">
      <alignment/>
    </xf>
    <xf numFmtId="0" fontId="4" fillId="10" borderId="32" xfId="0" applyFont="1" applyFill="1" applyBorder="1" applyAlignment="1">
      <alignment horizontal="center" vertical="center" wrapText="1"/>
    </xf>
    <xf numFmtId="224" fontId="5" fillId="0" borderId="0" xfId="0" applyNumberFormat="1" applyFont="1" applyFill="1" applyAlignment="1">
      <alignment vertical="center"/>
    </xf>
    <xf numFmtId="198" fontId="5" fillId="0" borderId="0" xfId="0" applyNumberFormat="1" applyFont="1" applyFill="1" applyBorder="1" applyAlignment="1">
      <alignment horizontal="right" vertical="center"/>
    </xf>
    <xf numFmtId="198" fontId="5" fillId="0" borderId="28" xfId="0" applyNumberFormat="1" applyFont="1" applyFill="1" applyBorder="1" applyAlignment="1">
      <alignment horizontal="right" vertical="center"/>
    </xf>
    <xf numFmtId="198" fontId="2" fillId="0" borderId="0" xfId="0" applyNumberFormat="1" applyFont="1" applyFill="1" applyBorder="1" applyAlignment="1">
      <alignment horizontal="right" vertical="center"/>
    </xf>
    <xf numFmtId="171" fontId="2" fillId="38" borderId="10" xfId="0" applyNumberFormat="1" applyFont="1" applyFill="1" applyBorder="1" applyAlignment="1">
      <alignment horizontal="right" vertical="center" indent="2"/>
    </xf>
    <xf numFmtId="1" fontId="76" fillId="38"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4" fillId="0" borderId="10" xfId="0" applyFont="1" applyFill="1" applyBorder="1" applyAlignment="1">
      <alignment vertical="center"/>
    </xf>
    <xf numFmtId="203" fontId="4" fillId="0" borderId="10" xfId="0" applyNumberFormat="1" applyFont="1" applyFill="1" applyBorder="1" applyAlignment="1">
      <alignment horizontal="center" vertical="center"/>
    </xf>
    <xf numFmtId="1" fontId="5" fillId="0" borderId="0" xfId="47" applyNumberFormat="1" applyFont="1" applyFill="1" applyBorder="1" applyAlignment="1">
      <alignment vertical="center"/>
    </xf>
    <xf numFmtId="1" fontId="5" fillId="0" borderId="0" xfId="0" applyNumberFormat="1" applyFont="1" applyFill="1" applyBorder="1" applyAlignment="1">
      <alignment horizontal="center" vertical="center" wrapText="1"/>
    </xf>
    <xf numFmtId="176" fontId="78" fillId="0" borderId="23" xfId="0" applyNumberFormat="1" applyFont="1" applyFill="1" applyBorder="1" applyAlignment="1">
      <alignment vertical="center"/>
    </xf>
    <xf numFmtId="0" fontId="2" fillId="0" borderId="11" xfId="0" applyFont="1" applyFill="1" applyBorder="1" applyAlignment="1">
      <alignment horizontal="left" vertical="center" indent="1"/>
    </xf>
    <xf numFmtId="187" fontId="2" fillId="0" borderId="11" xfId="56" applyNumberFormat="1" applyFont="1" applyFill="1" applyBorder="1" applyAlignment="1">
      <alignment horizontal="center" vertical="center"/>
    </xf>
    <xf numFmtId="219" fontId="2" fillId="0" borderId="11" xfId="56" applyNumberFormat="1" applyFont="1" applyFill="1" applyBorder="1" applyAlignment="1">
      <alignment horizontal="center" vertical="center"/>
    </xf>
    <xf numFmtId="0" fontId="2" fillId="0" borderId="0" xfId="0" applyFont="1" applyFill="1" applyBorder="1" applyAlignment="1">
      <alignment vertical="center"/>
    </xf>
    <xf numFmtId="171" fontId="2" fillId="0" borderId="12" xfId="0" applyNumberFormat="1" applyFont="1" applyFill="1" applyBorder="1" applyAlignment="1">
      <alignment horizontal="center" vertical="center"/>
    </xf>
    <xf numFmtId="209" fontId="2" fillId="0" borderId="15" xfId="0" applyNumberFormat="1" applyFont="1" applyFill="1" applyBorder="1" applyAlignment="1">
      <alignment horizontal="right" vertical="center"/>
    </xf>
    <xf numFmtId="198" fontId="2" fillId="0" borderId="15" xfId="0" applyNumberFormat="1" applyFont="1" applyFill="1" applyBorder="1" applyAlignment="1">
      <alignment horizontal="right" vertical="center"/>
    </xf>
    <xf numFmtId="49" fontId="2" fillId="0" borderId="15" xfId="47" applyNumberFormat="1" applyFont="1" applyFill="1" applyBorder="1" applyAlignment="1">
      <alignment horizontal="center" vertical="center"/>
    </xf>
    <xf numFmtId="0" fontId="9" fillId="36" borderId="23" xfId="0" applyFont="1" applyFill="1" applyBorder="1" applyAlignment="1">
      <alignment vertical="center"/>
    </xf>
    <xf numFmtId="171" fontId="5" fillId="10" borderId="23" xfId="0" applyNumberFormat="1" applyFont="1" applyFill="1" applyBorder="1" applyAlignment="1">
      <alignment vertical="center" wrapText="1"/>
    </xf>
    <xf numFmtId="171" fontId="85" fillId="0" borderId="23" xfId="0" applyNumberFormat="1" applyFont="1" applyFill="1" applyBorder="1" applyAlignment="1">
      <alignment vertical="center"/>
    </xf>
    <xf numFmtId="2" fontId="85" fillId="0" borderId="23" xfId="0" applyNumberFormat="1" applyFont="1" applyFill="1" applyBorder="1" applyAlignment="1">
      <alignment vertical="center" wrapText="1"/>
    </xf>
    <xf numFmtId="0" fontId="85" fillId="0" borderId="23" xfId="0" applyFont="1" applyFill="1" applyBorder="1" applyAlignment="1">
      <alignment vertical="center" wrapText="1"/>
    </xf>
    <xf numFmtId="171" fontId="85" fillId="10" borderId="23" xfId="0" applyNumberFormat="1" applyFont="1" applyFill="1" applyBorder="1" applyAlignment="1">
      <alignment vertical="center" wrapText="1"/>
    </xf>
    <xf numFmtId="0" fontId="5" fillId="0" borderId="0" xfId="0" applyFont="1" applyFill="1" applyAlignment="1">
      <alignment vertical="center" wrapText="1"/>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2" fontId="4" fillId="10" borderId="22" xfId="0" applyNumberFormat="1" applyFont="1" applyFill="1" applyBorder="1" applyAlignment="1">
      <alignment horizontal="center" vertical="center" wrapText="1"/>
    </xf>
    <xf numFmtId="0" fontId="5" fillId="10" borderId="40" xfId="0" applyFont="1" applyFill="1" applyBorder="1" applyAlignment="1">
      <alignment vertical="center" wrapText="1"/>
    </xf>
    <xf numFmtId="0" fontId="5" fillId="10" borderId="29" xfId="0" applyFont="1" applyFill="1" applyBorder="1" applyAlignment="1">
      <alignment vertical="center" wrapText="1"/>
    </xf>
    <xf numFmtId="0" fontId="4" fillId="10" borderId="22"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29" xfId="0" applyFont="1" applyFill="1" applyBorder="1" applyAlignment="1">
      <alignment horizontal="center" vertical="center" wrapText="1"/>
    </xf>
    <xf numFmtId="2" fontId="77" fillId="36" borderId="22" xfId="0" applyNumberFormat="1" applyFont="1" applyFill="1" applyBorder="1" applyAlignment="1">
      <alignment horizontal="center" vertical="center" wrapText="1"/>
    </xf>
    <xf numFmtId="2" fontId="77" fillId="36" borderId="40" xfId="0" applyNumberFormat="1"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5" fillId="0" borderId="29" xfId="0" applyFont="1" applyFill="1" applyBorder="1" applyAlignment="1">
      <alignment horizontal="center" vertical="center"/>
    </xf>
    <xf numFmtId="2" fontId="77" fillId="36" borderId="29" xfId="0" applyNumberFormat="1" applyFont="1" applyFill="1" applyBorder="1" applyAlignment="1">
      <alignment horizontal="center" vertical="center" wrapText="1"/>
    </xf>
    <xf numFmtId="0" fontId="2" fillId="10" borderId="11" xfId="55" applyFont="1" applyFill="1" applyBorder="1" applyAlignment="1">
      <alignment horizontal="center" vertical="center" textRotation="90" wrapText="1"/>
      <protection/>
    </xf>
    <xf numFmtId="0" fontId="2" fillId="10" borderId="16"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19" xfId="55" applyFont="1" applyFill="1" applyBorder="1" applyAlignment="1">
      <alignment horizontal="center"/>
      <protection/>
    </xf>
    <xf numFmtId="0" fontId="2" fillId="0" borderId="29" xfId="55" applyFont="1" applyFill="1" applyBorder="1" applyAlignment="1">
      <alignment horizontal="center"/>
      <protection/>
    </xf>
    <xf numFmtId="0" fontId="77" fillId="36" borderId="22" xfId="0" applyFont="1" applyFill="1" applyBorder="1" applyAlignment="1">
      <alignment horizontal="center" vertical="center" wrapText="1"/>
    </xf>
    <xf numFmtId="0" fontId="77" fillId="36" borderId="4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40" xfId="0" applyFont="1" applyFill="1" applyBorder="1" applyAlignment="1">
      <alignment horizontal="center" vertical="center"/>
    </xf>
    <xf numFmtId="2" fontId="77" fillId="36" borderId="13" xfId="0" applyNumberFormat="1" applyFont="1" applyFill="1" applyBorder="1" applyAlignment="1">
      <alignment horizontal="center" vertical="center" wrapText="1"/>
    </xf>
    <xf numFmtId="2" fontId="77" fillId="36" borderId="16" xfId="0" applyNumberFormat="1" applyFont="1" applyFill="1" applyBorder="1" applyAlignment="1">
      <alignment horizontal="center" vertical="center" wrapText="1"/>
    </xf>
    <xf numFmtId="0" fontId="77" fillId="36" borderId="10" xfId="0" applyFont="1" applyFill="1" applyBorder="1" applyAlignment="1">
      <alignment horizontal="center" vertical="center" wrapText="1"/>
    </xf>
    <xf numFmtId="2" fontId="77" fillId="36" borderId="30" xfId="0" applyNumberFormat="1" applyFont="1" applyFill="1" applyBorder="1" applyAlignment="1">
      <alignment horizontal="center" vertical="center" wrapText="1"/>
    </xf>
    <xf numFmtId="2" fontId="77" fillId="36" borderId="33" xfId="0" applyNumberFormat="1" applyFont="1" applyFill="1" applyBorder="1" applyAlignment="1">
      <alignment horizontal="center" vertical="center" wrapText="1"/>
    </xf>
    <xf numFmtId="2" fontId="77" fillId="36" borderId="32" xfId="0" applyNumberFormat="1" applyFont="1" applyFill="1" applyBorder="1" applyAlignment="1">
      <alignment horizontal="center" vertical="center" wrapText="1"/>
    </xf>
    <xf numFmtId="2" fontId="77" fillId="36" borderId="41" xfId="0" applyNumberFormat="1" applyFont="1" applyFill="1" applyBorder="1" applyAlignment="1">
      <alignment horizontal="center" vertical="center" wrapText="1"/>
    </xf>
    <xf numFmtId="2" fontId="77" fillId="36" borderId="42" xfId="0" applyNumberFormat="1" applyFont="1" applyFill="1" applyBorder="1" applyAlignment="1">
      <alignment horizontal="center" vertical="center" wrapText="1"/>
    </xf>
    <xf numFmtId="2" fontId="77" fillId="36" borderId="43" xfId="0" applyNumberFormat="1" applyFont="1" applyFill="1" applyBorder="1" applyAlignment="1">
      <alignment horizontal="center" vertical="center" wrapText="1"/>
    </xf>
    <xf numFmtId="2" fontId="77" fillId="39" borderId="30" xfId="0" applyNumberFormat="1" applyFont="1" applyFill="1" applyBorder="1" applyAlignment="1">
      <alignment horizontal="center" vertical="center" wrapText="1"/>
    </xf>
    <xf numFmtId="2" fontId="77" fillId="39" borderId="33" xfId="0" applyNumberFormat="1" applyFont="1" applyFill="1" applyBorder="1" applyAlignment="1">
      <alignment horizontal="center" vertical="center" wrapText="1"/>
    </xf>
    <xf numFmtId="2" fontId="77" fillId="39" borderId="32" xfId="0" applyNumberFormat="1" applyFont="1" applyFill="1" applyBorder="1" applyAlignment="1">
      <alignment horizontal="center" vertical="center" wrapText="1"/>
    </xf>
    <xf numFmtId="2" fontId="77" fillId="39" borderId="17" xfId="0" applyNumberFormat="1" applyFont="1" applyFill="1" applyBorder="1" applyAlignment="1">
      <alignment horizontal="center" vertical="center" wrapText="1"/>
    </xf>
    <xf numFmtId="2" fontId="77" fillId="39" borderId="18" xfId="0" applyNumberFormat="1" applyFont="1" applyFill="1" applyBorder="1" applyAlignment="1">
      <alignment horizontal="center" vertical="center" wrapText="1"/>
    </xf>
    <xf numFmtId="2" fontId="77" fillId="39" borderId="19" xfId="0" applyNumberFormat="1" applyFont="1" applyFill="1" applyBorder="1" applyAlignment="1">
      <alignment horizontal="center" vertical="center" wrapText="1"/>
    </xf>
    <xf numFmtId="2" fontId="77" fillId="36" borderId="44" xfId="0" applyNumberFormat="1" applyFont="1" applyFill="1" applyBorder="1" applyAlignment="1">
      <alignment horizontal="center" vertical="center" wrapText="1"/>
    </xf>
    <xf numFmtId="2" fontId="77" fillId="36" borderId="45" xfId="0" applyNumberFormat="1" applyFont="1" applyFill="1" applyBorder="1" applyAlignment="1">
      <alignment horizontal="center" vertical="center" wrapText="1"/>
    </xf>
    <xf numFmtId="2" fontId="77" fillId="36" borderId="18" xfId="0" applyNumberFormat="1" applyFont="1" applyFill="1" applyBorder="1" applyAlignment="1">
      <alignment horizontal="center" vertical="center" wrapText="1"/>
    </xf>
    <xf numFmtId="2" fontId="77" fillId="36" borderId="19"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4"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6"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44"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76" fillId="0" borderId="0" xfId="55" applyFont="1" applyAlignment="1">
      <alignment horizontal="left" vertical="top"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8764776"/>
        <c:axId val="36229801"/>
      </c:lineChart>
      <c:catAx>
        <c:axId val="487647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6229801"/>
        <c:crossesAt val="0"/>
        <c:auto val="1"/>
        <c:lblOffset val="100"/>
        <c:tickLblSkip val="1"/>
        <c:noMultiLvlLbl val="0"/>
      </c:catAx>
      <c:valAx>
        <c:axId val="3622980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8764776"/>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7632754"/>
        <c:axId val="48932739"/>
      </c:lineChart>
      <c:catAx>
        <c:axId val="576327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932739"/>
        <c:crossesAt val="0"/>
        <c:auto val="1"/>
        <c:lblOffset val="100"/>
        <c:tickLblSkip val="1"/>
        <c:noMultiLvlLbl val="0"/>
      </c:catAx>
      <c:valAx>
        <c:axId val="4893273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7632754"/>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7741468"/>
        <c:axId val="4128893"/>
      </c:lineChart>
      <c:catAx>
        <c:axId val="377414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128893"/>
        <c:crossesAt val="0"/>
        <c:auto val="1"/>
        <c:lblOffset val="100"/>
        <c:tickLblSkip val="1"/>
        <c:noMultiLvlLbl val="0"/>
      </c:catAx>
      <c:valAx>
        <c:axId val="412889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7741468"/>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7160038"/>
        <c:axId val="66004887"/>
      </c:lineChart>
      <c:catAx>
        <c:axId val="371600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6004887"/>
        <c:crossesAt val="0"/>
        <c:auto val="1"/>
        <c:lblOffset val="100"/>
        <c:tickLblSkip val="1"/>
        <c:noMultiLvlLbl val="0"/>
      </c:catAx>
      <c:valAx>
        <c:axId val="66004887"/>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7160038"/>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'31-G6'!#REF!</c:f>
              <c:strCache>
                <c:ptCount val="1"/>
                <c:pt idx="0">
                  <c:v>0</c:v>
                </c:pt>
              </c:strCache>
            </c:strRef>
          </c:cat>
          <c:val>
            <c:numRef>
              <c:f>'31-G6'!#REF!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'31-G6'!#REF!</c:f>
              <c:strCache>
                <c:ptCount val="1"/>
                <c:pt idx="0">
                  <c:v>0</c:v>
                </c:pt>
              </c:strCache>
            </c:strRef>
          </c:cat>
          <c:val>
            <c:numRef>
              <c:f>'31-G6'!#REF!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'31-G6'!#REF!</c:f>
              <c:strCache>
                <c:ptCount val="1"/>
                <c:pt idx="0">
                  <c:v>0</c:v>
                </c:pt>
              </c:strCache>
            </c:strRef>
          </c:cat>
          <c:val>
            <c:numRef>
              <c:f>'31-G6'!#REF!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'31-G6'!#REF!</c:f>
              <c:strCache>
                <c:ptCount val="1"/>
                <c:pt idx="0">
                  <c:v>0</c:v>
                </c:pt>
              </c:strCache>
            </c:strRef>
          </c:cat>
          <c:val>
            <c:numRef>
              <c:f>'31-G6'!#REF!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'31-G6'!#REF!</c:f>
              <c:strCache>
                <c:ptCount val="1"/>
                <c:pt idx="0">
                  <c:v>0</c:v>
                </c:pt>
              </c:strCache>
            </c:strRef>
          </c:cat>
          <c:val>
            <c:numRef>
              <c:f>'31-G6'!#REF!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'31-G6'!#REF!</c:f>
              <c:strCache>
                <c:ptCount val="1"/>
                <c:pt idx="0">
                  <c:v>0</c:v>
                </c:pt>
              </c:strCache>
            </c:strRef>
          </c:cat>
          <c:val>
            <c:numRef>
              <c:f>'31-G6'!#REF!</c:f>
              <c:numCache>
                <c:ptCount val="1"/>
                <c:pt idx="0">
                  <c:v>0</c:v>
                </c:pt>
              </c:numCache>
            </c:numRef>
          </c:val>
          <c:smooth val="0"/>
        </c:ser>
        <c:marker val="1"/>
        <c:axId val="57173072"/>
        <c:axId val="44795601"/>
      </c:lineChart>
      <c:catAx>
        <c:axId val="571730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4795601"/>
        <c:crossesAt val="0"/>
        <c:auto val="1"/>
        <c:lblOffset val="100"/>
        <c:tickLblSkip val="1"/>
        <c:noMultiLvlLbl val="0"/>
      </c:catAx>
      <c:valAx>
        <c:axId val="4479560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7173072"/>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'31-G6'!#REF!</c:f>
              <c:strCache>
                <c:ptCount val="1"/>
                <c:pt idx="0">
                  <c:v>0</c:v>
                </c:pt>
              </c:strCache>
            </c:strRef>
          </c:cat>
          <c:val>
            <c:numRef>
              <c:f>'31-G6'!#REF!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'31-G6'!#REF!</c:f>
              <c:strCache>
                <c:ptCount val="1"/>
                <c:pt idx="0">
                  <c:v>0</c:v>
                </c:pt>
              </c:strCache>
            </c:strRef>
          </c:cat>
          <c:val>
            <c:numRef>
              <c:f>'31-G6'!#REF!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'31-G6'!#REF!</c:f>
              <c:strCache>
                <c:ptCount val="1"/>
                <c:pt idx="0">
                  <c:v>0</c:v>
                </c:pt>
              </c:strCache>
            </c:strRef>
          </c:cat>
          <c:val>
            <c:numRef>
              <c:f>'31-G6'!#REF!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'31-G6'!#REF!</c:f>
              <c:strCache>
                <c:ptCount val="1"/>
                <c:pt idx="0">
                  <c:v>0</c:v>
                </c:pt>
              </c:strCache>
            </c:strRef>
          </c:cat>
          <c:val>
            <c:numRef>
              <c:f>'31-G6'!#REF!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'31-G6'!#REF!</c:f>
              <c:strCache>
                <c:ptCount val="1"/>
                <c:pt idx="0">
                  <c:v>0</c:v>
                </c:pt>
              </c:strCache>
            </c:strRef>
          </c:cat>
          <c:val>
            <c:numRef>
              <c:f>'31-G6'!#REF!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'31-G6'!#REF!</c:f>
              <c:strCache>
                <c:ptCount val="1"/>
                <c:pt idx="0">
                  <c:v>0</c:v>
                </c:pt>
              </c:strCache>
            </c:strRef>
          </c:cat>
          <c:val>
            <c:numRef>
              <c:f>'31-G6'!#REF!</c:f>
              <c:numCache>
                <c:ptCount val="1"/>
                <c:pt idx="0">
                  <c:v>0</c:v>
                </c:pt>
              </c:numCache>
            </c:numRef>
          </c:val>
          <c:smooth val="0"/>
        </c:ser>
        <c:marker val="1"/>
        <c:axId val="507226"/>
        <c:axId val="4565035"/>
      </c:lineChart>
      <c:catAx>
        <c:axId val="5072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565035"/>
        <c:crossesAt val="0"/>
        <c:auto val="1"/>
        <c:lblOffset val="100"/>
        <c:tickLblSkip val="1"/>
        <c:noMultiLvlLbl val="0"/>
      </c:catAx>
      <c:valAx>
        <c:axId val="4565035"/>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7226"/>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'31-G6'!#REF!</c:f>
              <c:strCache>
                <c:ptCount val="1"/>
                <c:pt idx="0">
                  <c:v>0</c:v>
                </c:pt>
              </c:strCache>
            </c:strRef>
          </c:cat>
          <c:val>
            <c:numRef>
              <c:f>'31-G6'!#REF!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'31-G6'!#REF!</c:f>
              <c:strCache>
                <c:ptCount val="1"/>
                <c:pt idx="0">
                  <c:v>0</c:v>
                </c:pt>
              </c:strCache>
            </c:strRef>
          </c:cat>
          <c:val>
            <c:numRef>
              <c:f>'31-G6'!#REF!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'31-G6'!#REF!</c:f>
              <c:strCache>
                <c:ptCount val="1"/>
                <c:pt idx="0">
                  <c:v>0</c:v>
                </c:pt>
              </c:strCache>
            </c:strRef>
          </c:cat>
          <c:val>
            <c:numRef>
              <c:f>'31-G6'!#REF!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'31-G6'!#REF!</c:f>
              <c:strCache>
                <c:ptCount val="1"/>
                <c:pt idx="0">
                  <c:v>0</c:v>
                </c:pt>
              </c:strCache>
            </c:strRef>
          </c:cat>
          <c:val>
            <c:numRef>
              <c:f>'31-G6'!#REF!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'31-G6'!#REF!</c:f>
              <c:strCache>
                <c:ptCount val="1"/>
                <c:pt idx="0">
                  <c:v>0</c:v>
                </c:pt>
              </c:strCache>
            </c:strRef>
          </c:cat>
          <c:val>
            <c:numRef>
              <c:f>'31-G6'!#REF!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'31-G6'!#REF!</c:f>
              <c:strCache>
                <c:ptCount val="1"/>
                <c:pt idx="0">
                  <c:v>0</c:v>
                </c:pt>
              </c:strCache>
            </c:strRef>
          </c:cat>
          <c:val>
            <c:numRef>
              <c:f>'31-G6'!#REF!</c:f>
              <c:numCache>
                <c:ptCount val="1"/>
                <c:pt idx="0">
                  <c:v>0</c:v>
                </c:pt>
              </c:numCache>
            </c:numRef>
          </c:val>
          <c:smooth val="0"/>
        </c:ser>
        <c:marker val="1"/>
        <c:axId val="41085316"/>
        <c:axId val="34223525"/>
      </c:lineChart>
      <c:catAx>
        <c:axId val="410853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4223525"/>
        <c:crossesAt val="0"/>
        <c:auto val="1"/>
        <c:lblOffset val="100"/>
        <c:tickLblSkip val="1"/>
        <c:noMultiLvlLbl val="0"/>
      </c:catAx>
      <c:valAx>
        <c:axId val="34223525"/>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1085316"/>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'31-G6'!#REF!</c:f>
              <c:strCache>
                <c:ptCount val="1"/>
                <c:pt idx="0">
                  <c:v>0</c:v>
                </c:pt>
              </c:strCache>
            </c:strRef>
          </c:cat>
          <c:val>
            <c:numRef>
              <c:f>'31-G6'!#REF!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'31-G6'!#REF!</c:f>
              <c:strCache>
                <c:ptCount val="1"/>
                <c:pt idx="0">
                  <c:v>0</c:v>
                </c:pt>
              </c:strCache>
            </c:strRef>
          </c:cat>
          <c:val>
            <c:numRef>
              <c:f>'31-G6'!#REF!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'31-G6'!#REF!</c:f>
              <c:strCache>
                <c:ptCount val="1"/>
                <c:pt idx="0">
                  <c:v>0</c:v>
                </c:pt>
              </c:strCache>
            </c:strRef>
          </c:cat>
          <c:val>
            <c:numRef>
              <c:f>'31-G6'!#REF!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'31-G6'!#REF!</c:f>
              <c:strCache>
                <c:ptCount val="1"/>
                <c:pt idx="0">
                  <c:v>0</c:v>
                </c:pt>
              </c:strCache>
            </c:strRef>
          </c:cat>
          <c:val>
            <c:numRef>
              <c:f>'31-G6'!#REF!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'31-G6'!#REF!</c:f>
              <c:strCache>
                <c:ptCount val="1"/>
                <c:pt idx="0">
                  <c:v>0</c:v>
                </c:pt>
              </c:strCache>
            </c:strRef>
          </c:cat>
          <c:val>
            <c:numRef>
              <c:f>'31-G6'!#REF!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'31-G6'!#REF!</c:f>
              <c:strCache>
                <c:ptCount val="1"/>
                <c:pt idx="0">
                  <c:v>0</c:v>
                </c:pt>
              </c:strCache>
            </c:strRef>
          </c:cat>
          <c:val>
            <c:numRef>
              <c:f>'31-G6'!#REF!</c:f>
              <c:numCache>
                <c:ptCount val="1"/>
                <c:pt idx="0">
                  <c:v>0</c:v>
                </c:pt>
              </c:numCache>
            </c:numRef>
          </c:val>
          <c:smooth val="0"/>
        </c:ser>
        <c:marker val="1"/>
        <c:axId val="39576270"/>
        <c:axId val="20642111"/>
      </c:lineChart>
      <c:catAx>
        <c:axId val="395762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0642111"/>
        <c:crossesAt val="0"/>
        <c:auto val="1"/>
        <c:lblOffset val="100"/>
        <c:tickLblSkip val="1"/>
        <c:noMultiLvlLbl val="0"/>
      </c:catAx>
      <c:valAx>
        <c:axId val="2064211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576270"/>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114300" y="5105400"/>
          <a:ext cx="1262062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2018 de la DREES ; données AFG, FFA.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23950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23950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24902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249025"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13</xdr:col>
      <xdr:colOff>447675</xdr:colOff>
      <xdr:row>13</xdr:row>
      <xdr:rowOff>114300</xdr:rowOff>
    </xdr:to>
    <xdr:sp>
      <xdr:nvSpPr>
        <xdr:cNvPr id="5" name="Text Box 5"/>
        <xdr:cNvSpPr txBox="1">
          <a:spLocks noChangeArrowheads="1"/>
        </xdr:cNvSpPr>
      </xdr:nvSpPr>
      <xdr:spPr>
        <a:xfrm>
          <a:off x="200025" y="1866900"/>
          <a:ext cx="7391400" cy="7239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&gt; Données estimées sur le champ des répondants à l’enquête pour lesquels l’âge est connu (cf.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&gt; Contrats PERP, Perco, fonctionnaires et élus locaux, Madelin, « exploitants agricoles » et « article 83 » en cours de constitution au cours de l’année, sans correction des doubles comptes.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&gt;  DREES, enquêtes Retraite supplémentaire de 2006 à 2018.</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&gt; Données estimées sur le champ des répondants à l’enquête pour lesquels le sexe est connu. Pour chacun des produits, la part d'adhérents pour laquelle cette information est disponible est comprise entre 88 % et 100 %.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&gt; Contrats en cours de constitution au cours de l’année, sans correction des doubles comptes.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&gt;  DREES, enquêtes Retraite supplémentaire de 2018.</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19</xdr:col>
      <xdr:colOff>409575</xdr:colOff>
      <xdr:row>32</xdr:row>
      <xdr:rowOff>0</xdr:rowOff>
    </xdr:to>
    <xdr:sp>
      <xdr:nvSpPr>
        <xdr:cNvPr id="1" name="Text Box 1"/>
        <xdr:cNvSpPr txBox="1">
          <a:spLocks noChangeArrowheads="1"/>
        </xdr:cNvSpPr>
      </xdr:nvSpPr>
      <xdr:spPr>
        <a:xfrm>
          <a:off x="276225" y="6219825"/>
          <a:ext cx="10782300" cy="1476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2018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&gt;</a:t>
          </a:r>
          <a:r>
            <a:rPr lang="en-US" cap="none" sz="800" b="0" i="0" u="none" baseline="0">
              <a:solidFill>
                <a:srgbClr val="000000"/>
              </a:solidFill>
              <a:latin typeface="Arial"/>
              <a:ea typeface="Arial"/>
              <a:cs typeface="Arial"/>
            </a:rPr>
            <a:t>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77 % et 100 %, selon les produits.
</a:t>
          </a:r>
          <a:r>
            <a:rPr lang="en-US" cap="none" sz="800" b="1" i="0" u="none" baseline="0">
              <a:solidFill>
                <a:srgbClr val="000000"/>
              </a:solidFill>
              <a:latin typeface="Arial"/>
              <a:ea typeface="Arial"/>
              <a:cs typeface="Arial"/>
            </a:rPr>
            <a:t>Champ &gt;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&gt; </a:t>
          </a:r>
          <a:r>
            <a:rPr lang="en-US" cap="none" sz="800" b="0" i="0" u="none" baseline="0">
              <a:solidFill>
                <a:srgbClr val="000000"/>
              </a:solidFill>
              <a:latin typeface="Arial"/>
              <a:ea typeface="Arial"/>
              <a:cs typeface="Arial"/>
            </a:rPr>
            <a:t>DREES</a:t>
          </a:r>
          <a:r>
            <a:rPr lang="en-US" cap="none" sz="800" b="1" i="0" u="none" baseline="0">
              <a:solidFill>
                <a:srgbClr val="000000"/>
              </a:solidFill>
              <a:latin typeface="Arial"/>
              <a:ea typeface="Arial"/>
              <a:cs typeface="Arial"/>
            </a:rPr>
            <a:t>, e</a:t>
          </a:r>
          <a:r>
            <a:rPr lang="en-US" cap="none" sz="800" b="0" i="0" u="none" baseline="0">
              <a:solidFill>
                <a:srgbClr val="000000"/>
              </a:solidFill>
              <a:latin typeface="Arial"/>
              <a:ea typeface="Arial"/>
              <a:cs typeface="Arial"/>
            </a:rPr>
            <a:t>nquête Retraite supplémentaire 2018.
</a:t>
          </a:r>
          <a:r>
            <a:rPr lang="en-US" cap="none" sz="800" b="0" i="0" u="none" baseline="0">
              <a:solidFill>
                <a:srgbClr val="000000"/>
              </a:solidFill>
              <a:latin typeface="Arial"/>
              <a:ea typeface="Arial"/>
              <a:cs typeface="Aria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10</xdr:col>
      <xdr:colOff>38100</xdr:colOff>
      <xdr:row>20</xdr:row>
      <xdr:rowOff>9525</xdr:rowOff>
    </xdr:to>
    <xdr:sp>
      <xdr:nvSpPr>
        <xdr:cNvPr id="1" name="Text Box 2"/>
        <xdr:cNvSpPr txBox="1">
          <a:spLocks noChangeArrowheads="1"/>
        </xdr:cNvSpPr>
      </xdr:nvSpPr>
      <xdr:spPr>
        <a:xfrm>
          <a:off x="762000" y="1552575"/>
          <a:ext cx="7400925"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2018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&gt;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75 % et 98 %.
</a:t>
          </a:r>
          <a:r>
            <a:rPr lang="en-US" cap="none" sz="800" b="1" i="0" u="none" baseline="0">
              <a:solidFill>
                <a:srgbClr val="000000"/>
              </a:solidFill>
              <a:latin typeface="Arial"/>
              <a:ea typeface="Arial"/>
              <a:cs typeface="Arial"/>
            </a:rPr>
            <a:t>Champ &gt;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&gt;</a:t>
          </a:r>
          <a:r>
            <a:rPr lang="en-US" cap="none" sz="800" b="0" i="0" u="none" baseline="0">
              <a:solidFill>
                <a:srgbClr val="000000"/>
              </a:solidFill>
              <a:latin typeface="Arial"/>
              <a:ea typeface="Arial"/>
              <a:cs typeface="Arial"/>
            </a:rPr>
            <a:t> DREES, enquête Retraite supplémentaire 2018.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57150</xdr:rowOff>
    </xdr:from>
    <xdr:to>
      <xdr:col>6</xdr:col>
      <xdr:colOff>1000125</xdr:colOff>
      <xdr:row>18</xdr:row>
      <xdr:rowOff>66675</xdr:rowOff>
    </xdr:to>
    <xdr:sp>
      <xdr:nvSpPr>
        <xdr:cNvPr id="1" name="Text Box 1"/>
        <xdr:cNvSpPr txBox="1">
          <a:spLocks noChangeArrowheads="1"/>
        </xdr:cNvSpPr>
      </xdr:nvSpPr>
      <xdr:spPr>
        <a:xfrm>
          <a:off x="266700" y="2628900"/>
          <a:ext cx="6924675"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2018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2018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19050" y="5200650"/>
          <a:ext cx="12811125"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2018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66675" y="5114925"/>
          <a:ext cx="132778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0" i="0" u="none" baseline="0">
              <a:solidFill>
                <a:srgbClr val="000000"/>
              </a:solidFill>
              <a:latin typeface="Arial"/>
              <a:ea typeface="Arial"/>
              <a:cs typeface="Arial"/>
            </a:rPr>
            <a:t>L'évolution des cotisations est converti des euros courants aux euros constants  par rapport aux niveaux de </a:t>
          </a:r>
          <a:r>
            <a:rPr lang="en-US" cap="none" sz="800" b="0" i="0" u="none" baseline="0">
              <a:solidFill>
                <a:srgbClr val="000000"/>
              </a:solidFill>
              <a:latin typeface="Arial"/>
              <a:ea typeface="Arial"/>
              <a:cs typeface="Arial"/>
            </a:rPr>
            <a:t>décembre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2018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16</xdr:col>
      <xdr:colOff>47625</xdr:colOff>
      <xdr:row>32</xdr:row>
      <xdr:rowOff>133350</xdr:rowOff>
    </xdr:to>
    <xdr:sp>
      <xdr:nvSpPr>
        <xdr:cNvPr id="1" name="Text Box 1"/>
        <xdr:cNvSpPr txBox="1">
          <a:spLocks noChangeArrowheads="1"/>
        </xdr:cNvSpPr>
      </xdr:nvSpPr>
      <xdr:spPr>
        <a:xfrm>
          <a:off x="266700" y="2790825"/>
          <a:ext cx="8667750" cy="20193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2010 à 2018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20</xdr:col>
      <xdr:colOff>76200</xdr:colOff>
      <xdr:row>29</xdr:row>
      <xdr:rowOff>142875</xdr:rowOff>
    </xdr:to>
    <xdr:sp>
      <xdr:nvSpPr>
        <xdr:cNvPr id="1" name="Text Box 1"/>
        <xdr:cNvSpPr txBox="1">
          <a:spLocks noChangeArrowheads="1"/>
        </xdr:cNvSpPr>
      </xdr:nvSpPr>
      <xdr:spPr>
        <a:xfrm>
          <a:off x="276225" y="7562850"/>
          <a:ext cx="13811250"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2018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20</xdr:col>
      <xdr:colOff>209550</xdr:colOff>
      <xdr:row>27</xdr:row>
      <xdr:rowOff>114300</xdr:rowOff>
    </xdr:to>
    <xdr:sp>
      <xdr:nvSpPr>
        <xdr:cNvPr id="1" name="Text Box 1"/>
        <xdr:cNvSpPr txBox="1">
          <a:spLocks noChangeArrowheads="1"/>
        </xdr:cNvSpPr>
      </xdr:nvSpPr>
      <xdr:spPr>
        <a:xfrm>
          <a:off x="247650" y="5543550"/>
          <a:ext cx="13916025" cy="1190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2018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&gt; La part des indépendants cotisant sur un contrat de retraite supplémentaire qui leur est destiné (Madelin, contrat « exploitants agricoles ») est calculée en rapportant le nombre de ces cotisants au nombre de personnes en emploi non-salarié moyen en 2018. De même, la part des cotisants à un contrat de retraite supplémentaire pour les salariés (« article 83 », « article 82 » ou PERE), d’une part, et celle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&gt; 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&gt; DREES, enquêtes Retraite supplémentaire de 2009 à 2018 ; comptes nationaux de l’Insee.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18</xdr:row>
      <xdr:rowOff>19050</xdr:rowOff>
    </xdr:to>
    <xdr:sp>
      <xdr:nvSpPr>
        <xdr:cNvPr id="1" name="Text Box 1"/>
        <xdr:cNvSpPr txBox="1">
          <a:spLocks noChangeArrowheads="1"/>
        </xdr:cNvSpPr>
      </xdr:nvSpPr>
      <xdr:spPr>
        <a:xfrm>
          <a:off x="238125" y="2295525"/>
          <a:ext cx="5857875" cy="95250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Calibri"/>
              <a:ea typeface="Calibri"/>
              <a:cs typeface="Calibri"/>
            </a:rPr>
            <a:t>Note</a:t>
          </a:r>
          <a:r>
            <a:rPr lang="en-US" cap="none" sz="900" b="0" i="0" u="none" baseline="0">
              <a:solidFill>
                <a:srgbClr val="000000"/>
              </a:solidFill>
              <a:latin typeface="Calibri"/>
              <a:ea typeface="Calibri"/>
              <a:cs typeface="Calibri"/>
            </a:rPr>
            <a:t> &gt; Données estimées sur le champ des répondants à l’enquête pour lesquels la tranche de versement est co</a:t>
          </a:r>
          <a:r>
            <a:rPr lang="en-US" cap="none" sz="900" b="0" i="0" u="none" baseline="0">
              <a:solidFill>
                <a:srgbClr val="000000"/>
              </a:solidFill>
              <a:latin typeface="Calibri"/>
              <a:ea typeface="Calibri"/>
              <a:cs typeface="Calibri"/>
            </a:rPr>
            <a:t>nnue.  Pour chacun des produits, la part d’adhérents pour laquelle cette information est disponible est de 76% pour les PERP et assimilés, 91% pour les indépendants, 87% pour les "article 83" et 100% pour le Perco.
</a:t>
          </a:r>
          <a:r>
            <a:rPr lang="en-US" cap="none" sz="900" b="1" i="0" u="none" baseline="0">
              <a:solidFill>
                <a:srgbClr val="000000"/>
              </a:solidFill>
              <a:latin typeface="Calibri"/>
              <a:ea typeface="Calibri"/>
              <a:cs typeface="Calibri"/>
            </a:rPr>
            <a:t>Champ</a:t>
          </a:r>
          <a:r>
            <a:rPr lang="en-US" cap="none" sz="900" b="0" i="0" u="none" baseline="0">
              <a:solidFill>
                <a:srgbClr val="000000"/>
              </a:solidFill>
              <a:latin typeface="Calibri"/>
              <a:ea typeface="Calibri"/>
              <a:cs typeface="Calibri"/>
            </a:rPr>
            <a:t> &gt; Contrats en cours de constitution et pour lesquels un versement a été réalisé au cours de l’année, sans correction des doubles comptes. 
</a:t>
          </a:r>
          <a:r>
            <a:rPr lang="en-US" cap="none" sz="900" b="1" i="0"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&gt;  DREES, enquêtes Retraite supplémentaire de 2018.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&gt; Données estimées sur le champ des répondants à l’enquête pour lesquels l’âge est connu. Pour chacun des produits, la part d’adhérents pour laquelle cette information est disponible est comprise entre 89 % et 99 % ; pour les nouveaux adhérents, elle se situe entre 93 % et 100 %.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&gt; Contrats en cours de constitution durant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&gt;  DREES, enquêtes Retraite supplémentaire de 2018 ; enquête Emploi de 2018 de l’Insee.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filer1.ac.intranet.sante.gouv.fr\DREEScommun$\RETR\Epargne%20retraite\Collecte%20des%20donn&#233;es%202018\Prod%20sous%20R\sorties\Tableaux_F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iler1.ac.intranet.sante.gouv.fr\DREEScommun$\RETR\Epargne%20retraite\Collecte%20des%20donn&#233;es%202018\Prod%20sous%20R\sorties\Tableaux_S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iler1.ac.intranet.sante.gouv.fr\DREEScommun$\RETR\Epargne%20retraite\Collecte%20des%20donn&#233;es%202018\Fiches\3%20-%20Adh&#233;rents%20et%20cotisants\31_Cotisants%20-%20Donn&#233;es%20et%20figures%20-%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tisations"/>
      <sheetName val="AdherentsCotisants"/>
      <sheetName val="encours_CL"/>
      <sheetName val="encoursRed_detail"/>
      <sheetName val="prestations"/>
      <sheetName val="rentesRed"/>
      <sheetName val="rentes_vfu_sk"/>
      <sheetName val="benef_rentes_vfu_sk"/>
      <sheetName val="pourDataDrees"/>
    </sheetNames>
    <sheetDataSet>
      <sheetData sheetId="0">
        <row r="4">
          <cell r="C4">
            <v>1571000000</v>
          </cell>
          <cell r="D4">
            <v>10939846</v>
          </cell>
          <cell r="E4">
            <v>0</v>
          </cell>
          <cell r="F4">
            <v>0</v>
          </cell>
          <cell r="G4">
            <v>0</v>
          </cell>
          <cell r="H4">
            <v>1581939846</v>
          </cell>
        </row>
        <row r="5">
          <cell r="C5">
            <v>408629813</v>
          </cell>
          <cell r="D5">
            <v>133396040</v>
          </cell>
          <cell r="E5">
            <v>0</v>
          </cell>
          <cell r="F5">
            <v>0</v>
          </cell>
          <cell r="G5">
            <v>0</v>
          </cell>
          <cell r="H5">
            <v>542025853</v>
          </cell>
        </row>
        <row r="6">
          <cell r="C6">
            <v>887555</v>
          </cell>
          <cell r="D6">
            <v>53398161</v>
          </cell>
          <cell r="E6">
            <v>0</v>
          </cell>
          <cell r="F6">
            <v>0</v>
          </cell>
          <cell r="G6">
            <v>0</v>
          </cell>
          <cell r="H6">
            <v>54285716</v>
          </cell>
        </row>
        <row r="7">
          <cell r="C7">
            <v>2557497</v>
          </cell>
          <cell r="D7">
            <v>1976402</v>
          </cell>
          <cell r="E7">
            <v>0</v>
          </cell>
          <cell r="F7">
            <v>0</v>
          </cell>
          <cell r="G7">
            <v>0</v>
          </cell>
          <cell r="H7">
            <v>4533899</v>
          </cell>
        </row>
        <row r="8">
          <cell r="C8">
            <v>2580000000</v>
          </cell>
          <cell r="D8">
            <v>115796505</v>
          </cell>
          <cell r="E8">
            <v>185863480</v>
          </cell>
          <cell r="F8">
            <v>0</v>
          </cell>
          <cell r="G8">
            <v>0</v>
          </cell>
          <cell r="H8">
            <v>2881659985</v>
          </cell>
        </row>
        <row r="9">
          <cell r="C9">
            <v>224000000</v>
          </cell>
          <cell r="D9">
            <v>0</v>
          </cell>
          <cell r="E9">
            <v>6985645</v>
          </cell>
          <cell r="F9">
            <v>0</v>
          </cell>
          <cell r="G9">
            <v>0</v>
          </cell>
          <cell r="H9">
            <v>230985645</v>
          </cell>
        </row>
        <row r="10">
          <cell r="C10">
            <v>16115758</v>
          </cell>
          <cell r="D10">
            <v>0</v>
          </cell>
          <cell r="E10">
            <v>0</v>
          </cell>
          <cell r="F10">
            <v>2443356858</v>
          </cell>
          <cell r="G10">
            <v>0</v>
          </cell>
          <cell r="H10">
            <v>2459472616</v>
          </cell>
        </row>
        <row r="11">
          <cell r="C11">
            <v>1627494835</v>
          </cell>
          <cell r="D11">
            <v>0</v>
          </cell>
          <cell r="E11">
            <v>4857216</v>
          </cell>
          <cell r="F11">
            <v>0</v>
          </cell>
          <cell r="G11">
            <v>7893321</v>
          </cell>
          <cell r="H11">
            <v>1640245372</v>
          </cell>
        </row>
        <row r="12">
          <cell r="C12">
            <v>179000000</v>
          </cell>
          <cell r="D12">
            <v>0</v>
          </cell>
          <cell r="E12">
            <v>2516337</v>
          </cell>
          <cell r="F12">
            <v>0</v>
          </cell>
          <cell r="G12">
            <v>15419044</v>
          </cell>
          <cell r="H12">
            <v>196935381</v>
          </cell>
        </row>
        <row r="13">
          <cell r="C13">
            <v>2838920617</v>
          </cell>
          <cell r="D13">
            <v>0</v>
          </cell>
          <cell r="E13">
            <v>117603050</v>
          </cell>
          <cell r="F13">
            <v>0</v>
          </cell>
          <cell r="G13">
            <v>385264924</v>
          </cell>
          <cell r="H13">
            <v>3341788591</v>
          </cell>
        </row>
        <row r="14">
          <cell r="C14">
            <v>30553077</v>
          </cell>
          <cell r="D14">
            <v>0</v>
          </cell>
          <cell r="E14">
            <v>0</v>
          </cell>
          <cell r="F14">
            <v>0</v>
          </cell>
          <cell r="G14">
            <v>5430958</v>
          </cell>
          <cell r="H14">
            <v>35984035</v>
          </cell>
        </row>
        <row r="15">
          <cell r="C15">
            <v>837303</v>
          </cell>
          <cell r="D15">
            <v>0</v>
          </cell>
          <cell r="E15">
            <v>0</v>
          </cell>
          <cell r="F15">
            <v>0</v>
          </cell>
          <cell r="G15">
            <v>0</v>
          </cell>
          <cell r="H15">
            <v>837303</v>
          </cell>
        </row>
        <row r="16">
          <cell r="C16">
            <v>13985333</v>
          </cell>
          <cell r="D16">
            <v>6030</v>
          </cell>
          <cell r="E16">
            <v>9438294</v>
          </cell>
          <cell r="F16">
            <v>0</v>
          </cell>
          <cell r="G16">
            <v>0</v>
          </cell>
          <cell r="H16">
            <v>23429657</v>
          </cell>
        </row>
      </sheetData>
      <sheetData sheetId="1">
        <row r="4">
          <cell r="C4">
            <v>1581939846</v>
          </cell>
          <cell r="G4">
            <v>2295409.21917976</v>
          </cell>
          <cell r="H4">
            <v>876938.461803259</v>
          </cell>
          <cell r="I4">
            <v>1803.93484252822</v>
          </cell>
        </row>
        <row r="5">
          <cell r="C5">
            <v>542025853</v>
          </cell>
          <cell r="G5">
            <v>645969</v>
          </cell>
          <cell r="H5">
            <v>452917</v>
          </cell>
          <cell r="I5">
            <v>1196.74433284686</v>
          </cell>
        </row>
        <row r="6">
          <cell r="C6">
            <v>54285716</v>
          </cell>
          <cell r="G6">
            <v>57273</v>
          </cell>
          <cell r="H6">
            <v>45610</v>
          </cell>
          <cell r="I6">
            <v>1190.21521596141</v>
          </cell>
        </row>
        <row r="7">
          <cell r="C7">
            <v>4533899</v>
          </cell>
          <cell r="G7">
            <v>6852</v>
          </cell>
          <cell r="H7">
            <v>1609</v>
          </cell>
          <cell r="I7">
            <v>2817.83654443754</v>
          </cell>
        </row>
        <row r="8">
          <cell r="C8">
            <v>2881659985</v>
          </cell>
          <cell r="G8">
            <v>1413849.67622368</v>
          </cell>
          <cell r="H8">
            <v>838540.292768067</v>
          </cell>
          <cell r="I8">
            <v>3436.51940145593</v>
          </cell>
        </row>
        <row r="9">
          <cell r="C9">
            <v>230985645</v>
          </cell>
          <cell r="G9">
            <v>259326.291772175</v>
          </cell>
          <cell r="H9">
            <v>181412.211771375</v>
          </cell>
          <cell r="I9">
            <v>1273.26403633235</v>
          </cell>
        </row>
        <row r="10">
          <cell r="C10">
            <v>2459472616</v>
          </cell>
          <cell r="G10">
            <v>2685558</v>
          </cell>
          <cell r="H10">
            <v>1253448</v>
          </cell>
          <cell r="I10">
            <v>1962.16565505709</v>
          </cell>
        </row>
        <row r="12">
          <cell r="C12">
            <v>196935381</v>
          </cell>
          <cell r="G12">
            <v>202601.1076772</v>
          </cell>
          <cell r="H12">
            <v>69874.53516078</v>
          </cell>
          <cell r="I12">
            <v>2818.41418403508</v>
          </cell>
        </row>
        <row r="13">
          <cell r="C13">
            <v>3341788591</v>
          </cell>
          <cell r="G13">
            <v>5136314</v>
          </cell>
          <cell r="H13">
            <v>2255310</v>
          </cell>
        </row>
        <row r="14">
          <cell r="C14">
            <v>35984035</v>
          </cell>
          <cell r="G14">
            <v>170065</v>
          </cell>
          <cell r="H14">
            <v>83570</v>
          </cell>
          <cell r="I14">
            <v>430.585557018069</v>
          </cell>
        </row>
        <row r="15">
          <cell r="C15">
            <v>837303</v>
          </cell>
          <cell r="G15">
            <v>9586</v>
          </cell>
          <cell r="H15">
            <v>329</v>
          </cell>
        </row>
        <row r="16">
          <cell r="C16">
            <v>23429657</v>
          </cell>
          <cell r="G16">
            <v>262342</v>
          </cell>
          <cell r="H16">
            <v>22481</v>
          </cell>
        </row>
      </sheetData>
      <sheetData sheetId="2">
        <row r="4">
          <cell r="C4">
            <v>17584467662</v>
          </cell>
          <cell r="D4">
            <v>1280178259</v>
          </cell>
        </row>
        <row r="5">
          <cell r="C5">
            <v>17502035370</v>
          </cell>
          <cell r="D5">
            <v>5558511093</v>
          </cell>
        </row>
        <row r="6">
          <cell r="C6">
            <v>470053938</v>
          </cell>
          <cell r="D6">
            <v>5632614979</v>
          </cell>
        </row>
        <row r="7">
          <cell r="C7">
            <v>23409592</v>
          </cell>
          <cell r="D7">
            <v>254984864</v>
          </cell>
        </row>
        <row r="8">
          <cell r="C8">
            <v>30857466901</v>
          </cell>
          <cell r="D8">
            <v>9644858361</v>
          </cell>
        </row>
        <row r="9">
          <cell r="C9">
            <v>5185696279</v>
          </cell>
          <cell r="D9">
            <v>1269839671</v>
          </cell>
        </row>
        <row r="10">
          <cell r="C10">
            <v>16483522142</v>
          </cell>
        </row>
        <row r="11">
          <cell r="C11">
            <v>22056630978</v>
          </cell>
          <cell r="D11">
            <v>13769030497</v>
          </cell>
        </row>
        <row r="12">
          <cell r="C12">
            <v>3670644410</v>
          </cell>
          <cell r="D12">
            <v>615254390</v>
          </cell>
        </row>
        <row r="13">
          <cell r="C13">
            <v>46191869566</v>
          </cell>
          <cell r="D13">
            <v>22182022171</v>
          </cell>
        </row>
        <row r="14">
          <cell r="C14">
            <v>748174384</v>
          </cell>
          <cell r="D14">
            <v>43046006</v>
          </cell>
        </row>
        <row r="15">
          <cell r="C15">
            <v>159735548</v>
          </cell>
          <cell r="D15">
            <v>807464499</v>
          </cell>
        </row>
        <row r="16">
          <cell r="C16">
            <v>2218817666</v>
          </cell>
          <cell r="D16">
            <v>65772516</v>
          </cell>
        </row>
      </sheetData>
      <sheetData sheetId="3">
        <row r="4">
          <cell r="C4">
            <v>19056000000</v>
          </cell>
          <cell r="D4">
            <v>130811496</v>
          </cell>
          <cell r="E4">
            <v>0</v>
          </cell>
          <cell r="F4">
            <v>0</v>
          </cell>
          <cell r="G4">
            <v>0</v>
          </cell>
          <cell r="H4">
            <v>19186811496</v>
          </cell>
        </row>
        <row r="5">
          <cell r="C5">
            <v>17373820716</v>
          </cell>
          <cell r="D5">
            <v>8707581526</v>
          </cell>
          <cell r="E5">
            <v>0</v>
          </cell>
          <cell r="F5">
            <v>0</v>
          </cell>
          <cell r="G5">
            <v>0</v>
          </cell>
          <cell r="H5">
            <v>26081402242</v>
          </cell>
        </row>
        <row r="6">
          <cell r="C6">
            <v>598667872</v>
          </cell>
          <cell r="D6">
            <v>5504001045</v>
          </cell>
          <cell r="E6">
            <v>0</v>
          </cell>
          <cell r="F6">
            <v>0</v>
          </cell>
          <cell r="G6">
            <v>0</v>
          </cell>
          <cell r="H6">
            <v>6102668917</v>
          </cell>
        </row>
        <row r="7">
          <cell r="C7">
            <v>170990131</v>
          </cell>
          <cell r="D7">
            <v>107404325</v>
          </cell>
          <cell r="E7">
            <v>0</v>
          </cell>
          <cell r="F7">
            <v>0</v>
          </cell>
          <cell r="G7">
            <v>0</v>
          </cell>
          <cell r="H7">
            <v>278394456</v>
          </cell>
        </row>
        <row r="8">
          <cell r="C8">
            <v>36746000000</v>
          </cell>
          <cell r="D8">
            <v>4180519204</v>
          </cell>
          <cell r="E8">
            <v>1976159608</v>
          </cell>
          <cell r="F8">
            <v>0</v>
          </cell>
          <cell r="G8">
            <v>0</v>
          </cell>
          <cell r="H8">
            <v>42902678812</v>
          </cell>
        </row>
        <row r="9">
          <cell r="C9">
            <v>6395141584</v>
          </cell>
          <cell r="D9">
            <v>0</v>
          </cell>
          <cell r="E9">
            <v>60394366</v>
          </cell>
          <cell r="F9">
            <v>0</v>
          </cell>
          <cell r="G9">
            <v>0</v>
          </cell>
          <cell r="H9">
            <v>6455535950</v>
          </cell>
        </row>
        <row r="10">
          <cell r="C10">
            <v>96075789</v>
          </cell>
          <cell r="D10">
            <v>0</v>
          </cell>
          <cell r="E10">
            <v>0</v>
          </cell>
          <cell r="F10">
            <v>16387446353</v>
          </cell>
          <cell r="G10">
            <v>0</v>
          </cell>
          <cell r="H10">
            <v>16483522142</v>
          </cell>
        </row>
        <row r="11">
          <cell r="C11">
            <v>40809498345.7</v>
          </cell>
          <cell r="D11">
            <v>0</v>
          </cell>
          <cell r="E11">
            <v>342029369</v>
          </cell>
          <cell r="F11">
            <v>0</v>
          </cell>
          <cell r="G11">
            <v>378929316</v>
          </cell>
          <cell r="H11">
            <v>41530457030.7</v>
          </cell>
        </row>
        <row r="12">
          <cell r="C12">
            <v>3394755452</v>
          </cell>
          <cell r="D12">
            <v>0</v>
          </cell>
          <cell r="E12">
            <v>117797865</v>
          </cell>
          <cell r="F12">
            <v>0</v>
          </cell>
          <cell r="G12">
            <v>773345483</v>
          </cell>
          <cell r="H12">
            <v>4285898800</v>
          </cell>
        </row>
        <row r="13">
          <cell r="C13">
            <v>60062000000</v>
          </cell>
          <cell r="D13">
            <v>0</v>
          </cell>
          <cell r="E13">
            <v>2518223971</v>
          </cell>
          <cell r="F13">
            <v>0</v>
          </cell>
          <cell r="G13">
            <v>7601860835</v>
          </cell>
          <cell r="H13">
            <v>70182084806</v>
          </cell>
        </row>
        <row r="14">
          <cell r="C14">
            <v>429676299</v>
          </cell>
          <cell r="D14">
            <v>0</v>
          </cell>
          <cell r="E14">
            <v>0</v>
          </cell>
          <cell r="F14">
            <v>0</v>
          </cell>
          <cell r="G14">
            <v>361544091</v>
          </cell>
          <cell r="H14">
            <v>791220390</v>
          </cell>
        </row>
        <row r="15">
          <cell r="C15">
            <v>967200047</v>
          </cell>
          <cell r="D15">
            <v>0</v>
          </cell>
          <cell r="E15">
            <v>0</v>
          </cell>
          <cell r="F15">
            <v>0</v>
          </cell>
          <cell r="G15">
            <v>0</v>
          </cell>
          <cell r="H15">
            <v>967200047</v>
          </cell>
        </row>
        <row r="16">
          <cell r="C16">
            <v>2173971886</v>
          </cell>
          <cell r="D16">
            <v>10977811</v>
          </cell>
          <cell r="E16">
            <v>99640485</v>
          </cell>
          <cell r="F16">
            <v>0</v>
          </cell>
          <cell r="G16">
            <v>0</v>
          </cell>
          <cell r="H16">
            <v>2284590182</v>
          </cell>
        </row>
      </sheetData>
      <sheetData sheetId="4">
        <row r="4">
          <cell r="C4">
            <v>504000000</v>
          </cell>
          <cell r="D4">
            <v>2877861</v>
          </cell>
          <cell r="E4">
            <v>0</v>
          </cell>
          <cell r="F4">
            <v>0</v>
          </cell>
          <cell r="G4">
            <v>0</v>
          </cell>
          <cell r="H4">
            <v>506877861</v>
          </cell>
        </row>
        <row r="5">
          <cell r="C5">
            <v>662948418</v>
          </cell>
          <cell r="D5">
            <v>320070014</v>
          </cell>
          <cell r="E5">
            <v>0</v>
          </cell>
          <cell r="F5">
            <v>0</v>
          </cell>
          <cell r="G5">
            <v>0</v>
          </cell>
          <cell r="H5">
            <v>983018432</v>
          </cell>
        </row>
        <row r="6">
          <cell r="C6">
            <v>33551760</v>
          </cell>
          <cell r="D6">
            <v>470653440</v>
          </cell>
          <cell r="E6">
            <v>0</v>
          </cell>
          <cell r="F6">
            <v>0</v>
          </cell>
          <cell r="G6">
            <v>0</v>
          </cell>
          <cell r="H6">
            <v>504205200</v>
          </cell>
        </row>
        <row r="7">
          <cell r="C7">
            <v>7397624</v>
          </cell>
          <cell r="D7">
            <v>10028534</v>
          </cell>
          <cell r="E7">
            <v>0</v>
          </cell>
          <cell r="F7">
            <v>0</v>
          </cell>
          <cell r="G7">
            <v>0</v>
          </cell>
          <cell r="H7">
            <v>17426158</v>
          </cell>
        </row>
        <row r="8">
          <cell r="C8">
            <v>502000000</v>
          </cell>
          <cell r="D8">
            <v>120327276</v>
          </cell>
          <cell r="E8">
            <v>23030972</v>
          </cell>
          <cell r="F8">
            <v>0</v>
          </cell>
          <cell r="G8">
            <v>0</v>
          </cell>
          <cell r="H8">
            <v>645358248</v>
          </cell>
        </row>
        <row r="9">
          <cell r="C9">
            <v>128000000</v>
          </cell>
          <cell r="D9">
            <v>0</v>
          </cell>
          <cell r="E9">
            <v>23279</v>
          </cell>
          <cell r="F9">
            <v>0</v>
          </cell>
          <cell r="G9">
            <v>0</v>
          </cell>
          <cell r="H9">
            <v>128023279</v>
          </cell>
        </row>
        <row r="10">
          <cell r="C10">
            <v>4892306</v>
          </cell>
          <cell r="D10">
            <v>0</v>
          </cell>
          <cell r="E10">
            <v>0</v>
          </cell>
          <cell r="F10">
            <v>580983321</v>
          </cell>
          <cell r="G10">
            <v>0</v>
          </cell>
          <cell r="H10">
            <v>585875627</v>
          </cell>
        </row>
        <row r="11">
          <cell r="C11">
            <v>1793406794.53</v>
          </cell>
          <cell r="D11">
            <v>0</v>
          </cell>
          <cell r="E11">
            <v>23909278</v>
          </cell>
          <cell r="F11">
            <v>0</v>
          </cell>
          <cell r="G11">
            <v>20754466</v>
          </cell>
          <cell r="H11">
            <v>1838070538.53</v>
          </cell>
        </row>
        <row r="12">
          <cell r="C12">
            <v>182981783</v>
          </cell>
          <cell r="D12">
            <v>0</v>
          </cell>
          <cell r="E12">
            <v>1443175</v>
          </cell>
          <cell r="F12">
            <v>0</v>
          </cell>
          <cell r="G12">
            <v>20058323</v>
          </cell>
          <cell r="H12">
            <v>204483281</v>
          </cell>
        </row>
        <row r="13">
          <cell r="C13">
            <v>1960315209</v>
          </cell>
          <cell r="D13">
            <v>0</v>
          </cell>
          <cell r="E13">
            <v>67956932</v>
          </cell>
          <cell r="F13">
            <v>0</v>
          </cell>
          <cell r="G13">
            <v>132348412</v>
          </cell>
          <cell r="H13">
            <v>2160620553</v>
          </cell>
        </row>
        <row r="14">
          <cell r="C14">
            <v>2894395</v>
          </cell>
          <cell r="D14">
            <v>0</v>
          </cell>
          <cell r="E14">
            <v>0</v>
          </cell>
          <cell r="F14">
            <v>0</v>
          </cell>
          <cell r="G14">
            <v>921464</v>
          </cell>
          <cell r="H14">
            <v>3815859</v>
          </cell>
        </row>
        <row r="15">
          <cell r="C15">
            <v>70936816</v>
          </cell>
          <cell r="D15">
            <v>0</v>
          </cell>
          <cell r="E15">
            <v>0</v>
          </cell>
          <cell r="F15">
            <v>0</v>
          </cell>
          <cell r="G15">
            <v>0</v>
          </cell>
          <cell r="H15">
            <v>70936816</v>
          </cell>
        </row>
        <row r="16">
          <cell r="C16">
            <v>3794555</v>
          </cell>
          <cell r="D16">
            <v>1011707</v>
          </cell>
          <cell r="E16">
            <v>459276</v>
          </cell>
          <cell r="F16">
            <v>0</v>
          </cell>
          <cell r="G16">
            <v>0</v>
          </cell>
          <cell r="H16">
            <v>5265538</v>
          </cell>
        </row>
      </sheetData>
      <sheetData sheetId="6">
        <row r="4">
          <cell r="C4">
            <v>65713048.102832</v>
          </cell>
          <cell r="D4">
            <v>394799353.873115</v>
          </cell>
          <cell r="E4">
            <v>46365459.0240534</v>
          </cell>
        </row>
        <row r="5">
          <cell r="C5">
            <v>960161881</v>
          </cell>
          <cell r="D5">
            <v>3693159</v>
          </cell>
          <cell r="E5">
            <v>19163392</v>
          </cell>
        </row>
        <row r="6">
          <cell r="C6">
            <v>504205200</v>
          </cell>
          <cell r="D6">
            <v>0</v>
          </cell>
          <cell r="E6">
            <v>0</v>
          </cell>
        </row>
        <row r="7">
          <cell r="C7">
            <v>17161352</v>
          </cell>
          <cell r="D7">
            <v>264806</v>
          </cell>
          <cell r="E7">
            <v>0</v>
          </cell>
        </row>
        <row r="8">
          <cell r="C8">
            <v>588330880.681938</v>
          </cell>
          <cell r="D8">
            <v>57027367.3180618</v>
          </cell>
          <cell r="E8">
            <v>0</v>
          </cell>
        </row>
        <row r="9">
          <cell r="C9">
            <v>62147434.6991908</v>
          </cell>
          <cell r="D9">
            <v>65875844.3008092</v>
          </cell>
          <cell r="E9">
            <v>0</v>
          </cell>
        </row>
        <row r="10">
          <cell r="C10">
            <v>946</v>
          </cell>
          <cell r="D10">
            <v>0</v>
          </cell>
          <cell r="E10">
            <v>585874681</v>
          </cell>
        </row>
        <row r="11">
          <cell r="C11">
            <v>1691143765.04088</v>
          </cell>
          <cell r="D11">
            <v>7395893.95911794</v>
          </cell>
          <cell r="E11">
            <v>0</v>
          </cell>
        </row>
        <row r="12">
          <cell r="C12">
            <v>75014521.0358873</v>
          </cell>
          <cell r="D12">
            <v>6993582.12510399</v>
          </cell>
          <cell r="E12">
            <v>122475177.839009</v>
          </cell>
        </row>
        <row r="13">
          <cell r="C13">
            <v>1981867382.65718</v>
          </cell>
          <cell r="D13">
            <v>178753170.34282</v>
          </cell>
          <cell r="E13">
            <v>0</v>
          </cell>
        </row>
        <row r="14">
          <cell r="C14">
            <v>2238826</v>
          </cell>
          <cell r="D14">
            <v>1577033</v>
          </cell>
          <cell r="E14">
            <v>0</v>
          </cell>
        </row>
        <row r="15">
          <cell r="C15">
            <v>69523050</v>
          </cell>
          <cell r="D15">
            <v>1413766</v>
          </cell>
          <cell r="E15">
            <v>0</v>
          </cell>
        </row>
        <row r="16">
          <cell r="C16">
            <v>4919528</v>
          </cell>
          <cell r="D16">
            <v>346010</v>
          </cell>
          <cell r="E16">
            <v>0</v>
          </cell>
        </row>
      </sheetData>
      <sheetData sheetId="7">
        <row r="4">
          <cell r="C4">
            <v>50798.2016126273</v>
          </cell>
          <cell r="D4">
            <v>67680.5437025585</v>
          </cell>
          <cell r="E4">
            <v>6384.41955097781</v>
          </cell>
          <cell r="F4">
            <v>1293.60973453236</v>
          </cell>
          <cell r="G4">
            <v>5833.27692531805</v>
          </cell>
          <cell r="H4">
            <v>7262.28260123542</v>
          </cell>
        </row>
        <row r="5">
          <cell r="C5">
            <v>595403</v>
          </cell>
          <cell r="D5">
            <v>1329</v>
          </cell>
          <cell r="E5">
            <v>0</v>
          </cell>
          <cell r="F5">
            <v>1612.62519839504</v>
          </cell>
          <cell r="G5">
            <v>2778.9006772009</v>
          </cell>
          <cell r="H5">
            <v>0</v>
          </cell>
        </row>
        <row r="6">
          <cell r="C6">
            <v>304439</v>
          </cell>
          <cell r="D6">
            <v>0</v>
          </cell>
          <cell r="E6">
            <v>0</v>
          </cell>
          <cell r="F6">
            <v>1656.17808493656</v>
          </cell>
          <cell r="H6">
            <v>0</v>
          </cell>
        </row>
        <row r="7">
          <cell r="C7">
            <v>17706</v>
          </cell>
          <cell r="D7">
            <v>49</v>
          </cell>
          <cell r="E7">
            <v>0</v>
          </cell>
          <cell r="F7">
            <v>969.239353891336</v>
          </cell>
          <cell r="G7">
            <v>5404.20408163265</v>
          </cell>
          <cell r="H7">
            <v>0</v>
          </cell>
        </row>
        <row r="8">
          <cell r="C8">
            <v>291944.087383194</v>
          </cell>
          <cell r="D8">
            <v>7528.07274771024</v>
          </cell>
          <cell r="E8">
            <v>0</v>
          </cell>
          <cell r="F8">
            <v>2015.21766018751</v>
          </cell>
          <cell r="G8">
            <v>7575.29439861051</v>
          </cell>
          <cell r="H8">
            <v>0</v>
          </cell>
        </row>
        <row r="9">
          <cell r="C9">
            <v>56394.2196496816</v>
          </cell>
          <cell r="D9">
            <v>6461.14972635641</v>
          </cell>
          <cell r="E9">
            <v>0</v>
          </cell>
          <cell r="F9">
            <v>1102.01781468469</v>
          </cell>
          <cell r="G9">
            <v>10195.6845284188</v>
          </cell>
          <cell r="H9">
            <v>0</v>
          </cell>
        </row>
        <row r="10">
          <cell r="C10">
            <v>0</v>
          </cell>
          <cell r="D10">
            <v>0</v>
          </cell>
          <cell r="E10">
            <v>51613</v>
          </cell>
          <cell r="H10">
            <v>11351.3006606863</v>
          </cell>
        </row>
        <row r="11">
          <cell r="C11">
            <v>238136.76042396</v>
          </cell>
          <cell r="D11">
            <v>1995.44200537237</v>
          </cell>
          <cell r="E11">
            <v>0</v>
          </cell>
          <cell r="F11">
            <v>7101.56534434289</v>
          </cell>
          <cell r="G11">
            <v>3706.39384116694</v>
          </cell>
          <cell r="H11">
            <v>0</v>
          </cell>
        </row>
        <row r="12">
          <cell r="C12">
            <v>65655.7983663275</v>
          </cell>
          <cell r="D12">
            <v>2819.195588035</v>
          </cell>
          <cell r="E12">
            <v>4749.07411289158</v>
          </cell>
          <cell r="F12">
            <v>1142.54221108306</v>
          </cell>
          <cell r="G12">
            <v>2480.70128755365</v>
          </cell>
          <cell r="H12">
            <v>25789.2749044586</v>
          </cell>
        </row>
        <row r="13">
          <cell r="C13">
            <v>763077.410722352</v>
          </cell>
          <cell r="D13">
            <v>35210.4041861056</v>
          </cell>
          <cell r="E13">
            <v>0</v>
          </cell>
          <cell r="F13">
            <v>2597.20357962253</v>
          </cell>
          <cell r="G13">
            <v>5076.71452443474</v>
          </cell>
          <cell r="H13">
            <v>0</v>
          </cell>
        </row>
        <row r="14">
          <cell r="C14">
            <v>1094</v>
          </cell>
          <cell r="D14">
            <v>363</v>
          </cell>
          <cell r="E14">
            <v>0</v>
          </cell>
          <cell r="F14">
            <v>2046.45886654479</v>
          </cell>
          <cell r="G14">
            <v>4344.4435261708</v>
          </cell>
          <cell r="H14">
            <v>0</v>
          </cell>
        </row>
        <row r="15">
          <cell r="C15">
            <v>32958</v>
          </cell>
          <cell r="D15">
            <v>492</v>
          </cell>
          <cell r="E15">
            <v>0</v>
          </cell>
          <cell r="F15">
            <v>2109.44383761151</v>
          </cell>
          <cell r="H15">
            <v>0</v>
          </cell>
        </row>
        <row r="16">
          <cell r="C16">
            <v>3440</v>
          </cell>
          <cell r="D16">
            <v>84</v>
          </cell>
          <cell r="E16">
            <v>0</v>
          </cell>
          <cell r="F16">
            <v>1430.09534883721</v>
          </cell>
          <cell r="H16">
            <v>0</v>
          </cell>
        </row>
      </sheetData>
      <sheetData sheetId="8">
        <row r="4">
          <cell r="C4">
            <v>2281432</v>
          </cell>
          <cell r="D4">
            <v>12929</v>
          </cell>
          <cell r="E4">
            <v>0</v>
          </cell>
          <cell r="F4">
            <v>0</v>
          </cell>
          <cell r="G4">
            <v>0</v>
          </cell>
        </row>
        <row r="5">
          <cell r="C5">
            <v>447674</v>
          </cell>
          <cell r="D5">
            <v>198295</v>
          </cell>
          <cell r="E5">
            <v>0</v>
          </cell>
          <cell r="F5">
            <v>0</v>
          </cell>
          <cell r="G5">
            <v>0</v>
          </cell>
        </row>
        <row r="6">
          <cell r="C6">
            <v>1907</v>
          </cell>
          <cell r="D6">
            <v>55366</v>
          </cell>
          <cell r="E6">
            <v>0</v>
          </cell>
          <cell r="F6">
            <v>0</v>
          </cell>
          <cell r="G6">
            <v>0</v>
          </cell>
        </row>
        <row r="7">
          <cell r="C7">
            <v>3917</v>
          </cell>
          <cell r="D7">
            <v>2935</v>
          </cell>
          <cell r="E7">
            <v>0</v>
          </cell>
          <cell r="F7">
            <v>0</v>
          </cell>
          <cell r="G7">
            <v>0</v>
          </cell>
        </row>
        <row r="8">
          <cell r="C8">
            <v>1036742</v>
          </cell>
          <cell r="D8">
            <v>195815</v>
          </cell>
          <cell r="E8">
            <v>47815</v>
          </cell>
          <cell r="F8">
            <v>0</v>
          </cell>
          <cell r="G8">
            <v>0</v>
          </cell>
        </row>
        <row r="9">
          <cell r="C9">
            <v>247842</v>
          </cell>
          <cell r="D9">
            <v>0</v>
          </cell>
          <cell r="E9">
            <v>3020</v>
          </cell>
          <cell r="F9">
            <v>0</v>
          </cell>
          <cell r="G9">
            <v>0</v>
          </cell>
        </row>
        <row r="10">
          <cell r="C10">
            <v>11212</v>
          </cell>
          <cell r="D10">
            <v>0</v>
          </cell>
          <cell r="E10">
            <v>0</v>
          </cell>
          <cell r="F10">
            <v>2674346</v>
          </cell>
          <cell r="G10">
            <v>0</v>
          </cell>
        </row>
        <row r="11">
          <cell r="C11">
            <v>106572</v>
          </cell>
          <cell r="D11">
            <v>0</v>
          </cell>
          <cell r="E11">
            <v>399</v>
          </cell>
          <cell r="F11">
            <v>0</v>
          </cell>
          <cell r="G11">
            <v>50950</v>
          </cell>
        </row>
        <row r="12">
          <cell r="C12">
            <v>136102</v>
          </cell>
          <cell r="D12">
            <v>0</v>
          </cell>
          <cell r="E12">
            <v>4481</v>
          </cell>
          <cell r="F12">
            <v>0</v>
          </cell>
          <cell r="G12">
            <v>52512</v>
          </cell>
        </row>
        <row r="13">
          <cell r="C13">
            <v>3397499</v>
          </cell>
          <cell r="D13">
            <v>0</v>
          </cell>
          <cell r="E13">
            <v>182863</v>
          </cell>
          <cell r="F13">
            <v>0</v>
          </cell>
          <cell r="G13">
            <v>1555952</v>
          </cell>
        </row>
        <row r="14">
          <cell r="C14">
            <v>88070</v>
          </cell>
          <cell r="D14">
            <v>0</v>
          </cell>
          <cell r="E14">
            <v>0</v>
          </cell>
          <cell r="F14">
            <v>0</v>
          </cell>
          <cell r="G14">
            <v>81995</v>
          </cell>
        </row>
        <row r="15">
          <cell r="C15">
            <v>9586</v>
          </cell>
          <cell r="D15">
            <v>0</v>
          </cell>
          <cell r="E15">
            <v>0</v>
          </cell>
          <cell r="F15">
            <v>0</v>
          </cell>
          <cell r="G15">
            <v>0</v>
          </cell>
        </row>
        <row r="16">
          <cell r="C16">
            <v>225515</v>
          </cell>
          <cell r="D16">
            <v>448</v>
          </cell>
          <cell r="E16">
            <v>36379</v>
          </cell>
          <cell r="F16">
            <v>0</v>
          </cell>
          <cell r="G1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chesVersements"/>
      <sheetName val="TranchesAgeTous"/>
      <sheetName val="TranchesAgeNouveaux"/>
      <sheetName val="SexeAdhCot"/>
      <sheetName val="NatureRente"/>
      <sheetName val="BeneficiaireTranche"/>
      <sheetName val="BeneficiaireAge"/>
      <sheetName val="BeneficiaireSexe"/>
    </sheetNames>
    <sheetDataSet>
      <sheetData sheetId="0">
        <row r="4">
          <cell r="D4">
            <v>233785</v>
          </cell>
          <cell r="E4">
            <v>285389</v>
          </cell>
          <cell r="F4">
            <v>81016</v>
          </cell>
          <cell r="G4">
            <v>60984</v>
          </cell>
          <cell r="H4">
            <v>42630</v>
          </cell>
        </row>
        <row r="5">
          <cell r="D5">
            <v>106502</v>
          </cell>
          <cell r="E5">
            <v>122875</v>
          </cell>
          <cell r="F5">
            <v>20835</v>
          </cell>
          <cell r="G5">
            <v>10926</v>
          </cell>
          <cell r="H5">
            <v>3484</v>
          </cell>
        </row>
        <row r="8">
          <cell r="D8">
            <v>118333</v>
          </cell>
          <cell r="E8">
            <v>167824</v>
          </cell>
          <cell r="F8">
            <v>133258</v>
          </cell>
          <cell r="G8">
            <v>155126</v>
          </cell>
          <cell r="H8">
            <v>99986</v>
          </cell>
        </row>
        <row r="9">
          <cell r="D9">
            <v>28163</v>
          </cell>
          <cell r="E9">
            <v>117387</v>
          </cell>
          <cell r="F9">
            <v>12246</v>
          </cell>
          <cell r="G9">
            <v>12085</v>
          </cell>
          <cell r="H9">
            <v>4635</v>
          </cell>
        </row>
        <row r="10">
          <cell r="D10">
            <v>358109</v>
          </cell>
          <cell r="E10">
            <v>341183</v>
          </cell>
          <cell r="F10">
            <v>219365</v>
          </cell>
          <cell r="G10">
            <v>185286</v>
          </cell>
          <cell r="H10">
            <v>149504</v>
          </cell>
        </row>
        <row r="12">
          <cell r="D12">
            <v>947474</v>
          </cell>
          <cell r="E12">
            <v>628583</v>
          </cell>
          <cell r="F12">
            <v>183830</v>
          </cell>
          <cell r="G12">
            <v>135716</v>
          </cell>
          <cell r="H12">
            <v>74737</v>
          </cell>
        </row>
      </sheetData>
      <sheetData sheetId="1">
        <row r="4">
          <cell r="C4">
            <v>19312</v>
          </cell>
          <cell r="D4">
            <v>298198</v>
          </cell>
          <cell r="E4">
            <v>566832</v>
          </cell>
          <cell r="F4">
            <v>722413</v>
          </cell>
          <cell r="G4">
            <v>354071</v>
          </cell>
        </row>
        <row r="5">
          <cell r="C5">
            <v>8834</v>
          </cell>
          <cell r="D5">
            <v>61830</v>
          </cell>
          <cell r="E5">
            <v>176013</v>
          </cell>
          <cell r="F5">
            <v>281587</v>
          </cell>
          <cell r="G5">
            <v>117662</v>
          </cell>
        </row>
        <row r="8">
          <cell r="C8">
            <v>20174</v>
          </cell>
          <cell r="D8">
            <v>158183</v>
          </cell>
          <cell r="E8">
            <v>350403</v>
          </cell>
          <cell r="F8">
            <v>442812</v>
          </cell>
          <cell r="G8">
            <v>179473</v>
          </cell>
        </row>
        <row r="9">
          <cell r="C9">
            <v>4022</v>
          </cell>
          <cell r="D9">
            <v>21502</v>
          </cell>
          <cell r="E9">
            <v>54536</v>
          </cell>
          <cell r="F9">
            <v>114712</v>
          </cell>
          <cell r="G9">
            <v>53662</v>
          </cell>
        </row>
        <row r="10">
          <cell r="C10">
            <v>312710</v>
          </cell>
          <cell r="D10">
            <v>603184</v>
          </cell>
          <cell r="E10">
            <v>671046</v>
          </cell>
          <cell r="F10">
            <v>707926</v>
          </cell>
          <cell r="G10">
            <v>364265</v>
          </cell>
        </row>
        <row r="13">
          <cell r="C13">
            <v>634285</v>
          </cell>
          <cell r="D13">
            <v>1176317</v>
          </cell>
          <cell r="E13">
            <v>1285497</v>
          </cell>
          <cell r="F13">
            <v>1238029</v>
          </cell>
          <cell r="G13">
            <v>618133</v>
          </cell>
        </row>
      </sheetData>
      <sheetData sheetId="2">
        <row r="4">
          <cell r="C4">
            <v>1606</v>
          </cell>
          <cell r="D4">
            <v>6960</v>
          </cell>
          <cell r="E4">
            <v>9063</v>
          </cell>
          <cell r="F4">
            <v>14441</v>
          </cell>
          <cell r="G4">
            <v>4830</v>
          </cell>
        </row>
        <row r="5">
          <cell r="C5">
            <v>1550</v>
          </cell>
          <cell r="D5">
            <v>3433</v>
          </cell>
          <cell r="E5">
            <v>3956</v>
          </cell>
          <cell r="F5">
            <v>2405</v>
          </cell>
          <cell r="G5">
            <v>588</v>
          </cell>
        </row>
        <row r="8">
          <cell r="C8">
            <v>4973</v>
          </cell>
          <cell r="D8">
            <v>14110</v>
          </cell>
          <cell r="E8">
            <v>14631</v>
          </cell>
          <cell r="F8">
            <v>10669</v>
          </cell>
          <cell r="G8">
            <v>1301</v>
          </cell>
        </row>
        <row r="9">
          <cell r="C9">
            <v>835</v>
          </cell>
          <cell r="D9">
            <v>1478</v>
          </cell>
          <cell r="E9">
            <v>1692</v>
          </cell>
          <cell r="F9">
            <v>1993</v>
          </cell>
          <cell r="G9">
            <v>251</v>
          </cell>
        </row>
        <row r="10">
          <cell r="C10">
            <v>64223</v>
          </cell>
          <cell r="D10">
            <v>62917</v>
          </cell>
          <cell r="E10">
            <v>53556</v>
          </cell>
          <cell r="F10">
            <v>46066</v>
          </cell>
          <cell r="G10">
            <v>12109</v>
          </cell>
        </row>
        <row r="13">
          <cell r="C13">
            <v>103220</v>
          </cell>
          <cell r="D13">
            <v>97002</v>
          </cell>
          <cell r="E13">
            <v>76149</v>
          </cell>
          <cell r="F13">
            <v>52707</v>
          </cell>
          <cell r="G13">
            <v>12672</v>
          </cell>
        </row>
      </sheetData>
      <sheetData sheetId="3">
        <row r="4">
          <cell r="C4">
            <v>1030490</v>
          </cell>
          <cell r="D4">
            <v>930414</v>
          </cell>
        </row>
        <row r="5">
          <cell r="C5">
            <v>213556</v>
          </cell>
          <cell r="D5">
            <v>398957</v>
          </cell>
        </row>
        <row r="6">
          <cell r="C6">
            <v>51727</v>
          </cell>
          <cell r="D6">
            <v>5546</v>
          </cell>
        </row>
        <row r="8">
          <cell r="C8">
            <v>768704</v>
          </cell>
          <cell r="D8">
            <v>380833</v>
          </cell>
        </row>
        <row r="9">
          <cell r="C9">
            <v>189286</v>
          </cell>
          <cell r="D9">
            <v>59148</v>
          </cell>
        </row>
        <row r="10">
          <cell r="C10">
            <v>1643016</v>
          </cell>
          <cell r="D10">
            <v>1039959</v>
          </cell>
        </row>
        <row r="12">
          <cell r="C12">
            <v>115859</v>
          </cell>
          <cell r="D12">
            <v>71996</v>
          </cell>
        </row>
        <row r="13">
          <cell r="C13">
            <v>2670005</v>
          </cell>
          <cell r="D13">
            <v>2153977</v>
          </cell>
        </row>
      </sheetData>
      <sheetData sheetId="4">
        <row r="4">
          <cell r="C4">
            <v>39747</v>
          </cell>
          <cell r="D4">
            <v>4718</v>
          </cell>
          <cell r="E4">
            <v>122</v>
          </cell>
          <cell r="F4">
            <v>0</v>
          </cell>
        </row>
        <row r="5">
          <cell r="C5">
            <v>545165</v>
          </cell>
          <cell r="D5">
            <v>35953</v>
          </cell>
          <cell r="E5">
            <v>87</v>
          </cell>
          <cell r="F5">
            <v>21</v>
          </cell>
        </row>
        <row r="6">
          <cell r="C6">
            <v>294861</v>
          </cell>
          <cell r="D6">
            <v>9578</v>
          </cell>
          <cell r="E6">
            <v>0</v>
          </cell>
          <cell r="F6">
            <v>0</v>
          </cell>
        </row>
        <row r="8">
          <cell r="C8">
            <v>191286</v>
          </cell>
          <cell r="D8">
            <v>65047</v>
          </cell>
          <cell r="E8">
            <v>40</v>
          </cell>
          <cell r="F8">
            <v>13</v>
          </cell>
        </row>
        <row r="9">
          <cell r="C9">
            <v>41799</v>
          </cell>
          <cell r="D9">
            <v>13605</v>
          </cell>
          <cell r="E9">
            <v>34</v>
          </cell>
          <cell r="F9">
            <v>0</v>
          </cell>
        </row>
        <row r="10">
          <cell r="C10">
            <v>85171</v>
          </cell>
          <cell r="D10">
            <v>28214</v>
          </cell>
          <cell r="E10">
            <v>2</v>
          </cell>
          <cell r="F10">
            <v>57</v>
          </cell>
        </row>
        <row r="12">
          <cell r="C12">
            <v>374540</v>
          </cell>
          <cell r="D12">
            <v>115529</v>
          </cell>
          <cell r="E12">
            <v>86</v>
          </cell>
          <cell r="F12">
            <v>0</v>
          </cell>
        </row>
      </sheetData>
      <sheetData sheetId="5">
        <row r="4">
          <cell r="C4">
            <v>10020</v>
          </cell>
          <cell r="D4">
            <v>17672</v>
          </cell>
          <cell r="E4">
            <v>11452</v>
          </cell>
          <cell r="F4">
            <v>4344</v>
          </cell>
          <cell r="G4">
            <v>737</v>
          </cell>
          <cell r="H4">
            <v>0</v>
          </cell>
          <cell r="I4">
            <v>0</v>
          </cell>
          <cell r="J4">
            <v>0</v>
          </cell>
          <cell r="K4">
            <v>0</v>
          </cell>
        </row>
        <row r="5">
          <cell r="C5">
            <v>115068</v>
          </cell>
          <cell r="D5">
            <v>145449</v>
          </cell>
          <cell r="E5">
            <v>135299</v>
          </cell>
          <cell r="F5">
            <v>48603</v>
          </cell>
          <cell r="G5">
            <v>3070</v>
          </cell>
          <cell r="H5">
            <v>0</v>
          </cell>
          <cell r="I5">
            <v>0</v>
          </cell>
          <cell r="J5">
            <v>0</v>
          </cell>
          <cell r="K5">
            <v>0</v>
          </cell>
        </row>
        <row r="6">
          <cell r="C6">
            <v>46869</v>
          </cell>
          <cell r="D6">
            <v>49193</v>
          </cell>
          <cell r="E6">
            <v>84824</v>
          </cell>
          <cell r="F6">
            <v>116409</v>
          </cell>
          <cell r="G6">
            <v>2114</v>
          </cell>
          <cell r="H6">
            <v>0</v>
          </cell>
          <cell r="I6">
            <v>0</v>
          </cell>
          <cell r="J6">
            <v>0</v>
          </cell>
          <cell r="K6">
            <v>0</v>
          </cell>
        </row>
        <row r="7">
          <cell r="G7">
            <v>325</v>
          </cell>
          <cell r="H7">
            <v>0</v>
          </cell>
          <cell r="I7">
            <v>0</v>
          </cell>
          <cell r="J7">
            <v>0</v>
          </cell>
          <cell r="K7">
            <v>0</v>
          </cell>
        </row>
        <row r="8">
          <cell r="C8">
            <v>52224</v>
          </cell>
          <cell r="D8">
            <v>63274</v>
          </cell>
          <cell r="E8">
            <v>66430</v>
          </cell>
          <cell r="F8">
            <v>54877</v>
          </cell>
          <cell r="G8">
            <v>13545</v>
          </cell>
          <cell r="H8">
            <v>0</v>
          </cell>
          <cell r="I8">
            <v>0</v>
          </cell>
          <cell r="J8">
            <v>0</v>
          </cell>
          <cell r="K8">
            <v>0</v>
          </cell>
        </row>
        <row r="9">
          <cell r="C9">
            <v>11423</v>
          </cell>
          <cell r="D9">
            <v>22459</v>
          </cell>
          <cell r="E9">
            <v>10775</v>
          </cell>
          <cell r="F9">
            <v>9914</v>
          </cell>
          <cell r="G9">
            <v>730</v>
          </cell>
          <cell r="H9">
            <v>0</v>
          </cell>
          <cell r="I9">
            <v>0</v>
          </cell>
          <cell r="J9">
            <v>0</v>
          </cell>
          <cell r="K9">
            <v>0</v>
          </cell>
        </row>
        <row r="10">
          <cell r="G10">
            <v>0</v>
          </cell>
          <cell r="H10">
            <v>0</v>
          </cell>
          <cell r="I10">
            <v>0</v>
          </cell>
          <cell r="J10">
            <v>0</v>
          </cell>
          <cell r="K10">
            <v>0</v>
          </cell>
        </row>
        <row r="11">
          <cell r="C11">
            <v>37966</v>
          </cell>
          <cell r="D11">
            <v>23006</v>
          </cell>
          <cell r="E11">
            <v>25555</v>
          </cell>
          <cell r="F11">
            <v>22365</v>
          </cell>
          <cell r="G11">
            <v>0</v>
          </cell>
          <cell r="H11">
            <v>15768</v>
          </cell>
          <cell r="I11">
            <v>6196</v>
          </cell>
          <cell r="J11">
            <v>3307</v>
          </cell>
          <cell r="K11">
            <v>1674</v>
          </cell>
        </row>
        <row r="12">
          <cell r="G12">
            <v>1046</v>
          </cell>
          <cell r="H12">
            <v>0</v>
          </cell>
          <cell r="I12">
            <v>0</v>
          </cell>
          <cell r="J12">
            <v>0</v>
          </cell>
          <cell r="K12">
            <v>0</v>
          </cell>
        </row>
        <row r="13">
          <cell r="C13">
            <v>120867</v>
          </cell>
          <cell r="D13">
            <v>139804</v>
          </cell>
          <cell r="E13">
            <v>127373</v>
          </cell>
          <cell r="F13">
            <v>124463</v>
          </cell>
          <cell r="G13">
            <v>69617</v>
          </cell>
          <cell r="H13">
            <v>0</v>
          </cell>
          <cell r="I13">
            <v>0</v>
          </cell>
          <cell r="J13">
            <v>0</v>
          </cell>
          <cell r="K13">
            <v>0</v>
          </cell>
        </row>
        <row r="14">
          <cell r="G14">
            <v>25</v>
          </cell>
          <cell r="H14">
            <v>0</v>
          </cell>
          <cell r="I14">
            <v>0</v>
          </cell>
          <cell r="J14">
            <v>0</v>
          </cell>
          <cell r="K14">
            <v>0</v>
          </cell>
        </row>
        <row r="15">
          <cell r="G15">
            <v>2243</v>
          </cell>
          <cell r="H15">
            <v>0</v>
          </cell>
          <cell r="I15">
            <v>0</v>
          </cell>
          <cell r="J15">
            <v>0</v>
          </cell>
          <cell r="K15">
            <v>0</v>
          </cell>
        </row>
        <row r="16">
          <cell r="G16">
            <v>10</v>
          </cell>
          <cell r="H16">
            <v>0</v>
          </cell>
          <cell r="I16">
            <v>0</v>
          </cell>
          <cell r="J16">
            <v>0</v>
          </cell>
          <cell r="K16">
            <v>0</v>
          </cell>
        </row>
      </sheetData>
      <sheetData sheetId="6">
        <row r="4">
          <cell r="C4">
            <v>1439</v>
          </cell>
          <cell r="D4">
            <v>13888</v>
          </cell>
          <cell r="E4">
            <v>19937</v>
          </cell>
          <cell r="F4">
            <v>9064</v>
          </cell>
          <cell r="G4">
            <v>659</v>
          </cell>
        </row>
        <row r="5">
          <cell r="C5">
            <v>9959</v>
          </cell>
          <cell r="D5">
            <v>85442</v>
          </cell>
          <cell r="E5">
            <v>153212</v>
          </cell>
          <cell r="F5">
            <v>232573</v>
          </cell>
          <cell r="G5">
            <v>114007</v>
          </cell>
        </row>
        <row r="6">
          <cell r="C6">
            <v>13151</v>
          </cell>
          <cell r="D6">
            <v>6360</v>
          </cell>
          <cell r="E6">
            <v>5214</v>
          </cell>
          <cell r="F6">
            <v>88667</v>
          </cell>
          <cell r="G6">
            <v>191047</v>
          </cell>
        </row>
        <row r="8">
          <cell r="C8">
            <v>7070</v>
          </cell>
          <cell r="D8">
            <v>41596</v>
          </cell>
          <cell r="E8">
            <v>86777</v>
          </cell>
          <cell r="F8">
            <v>96315</v>
          </cell>
          <cell r="G8">
            <v>28862</v>
          </cell>
        </row>
        <row r="9">
          <cell r="C9">
            <v>821</v>
          </cell>
          <cell r="D9">
            <v>8070</v>
          </cell>
          <cell r="E9">
            <v>18063</v>
          </cell>
          <cell r="F9">
            <v>23441</v>
          </cell>
          <cell r="G9">
            <v>5730</v>
          </cell>
        </row>
        <row r="11">
          <cell r="C11">
            <v>590</v>
          </cell>
          <cell r="D11">
            <v>10854</v>
          </cell>
          <cell r="E11">
            <v>23711</v>
          </cell>
          <cell r="F11">
            <v>47389</v>
          </cell>
          <cell r="G11">
            <v>55974</v>
          </cell>
        </row>
        <row r="13">
          <cell r="C13">
            <v>6970</v>
          </cell>
          <cell r="D13">
            <v>74265</v>
          </cell>
          <cell r="E13">
            <v>151094</v>
          </cell>
          <cell r="F13">
            <v>239046</v>
          </cell>
          <cell r="G13">
            <v>128002</v>
          </cell>
        </row>
      </sheetData>
      <sheetData sheetId="7">
        <row r="4">
          <cell r="C4">
            <v>24728</v>
          </cell>
          <cell r="D4">
            <v>20255</v>
          </cell>
        </row>
        <row r="5">
          <cell r="C5">
            <v>205621</v>
          </cell>
          <cell r="D5">
            <v>383381</v>
          </cell>
        </row>
        <row r="6">
          <cell r="C6">
            <v>282495</v>
          </cell>
          <cell r="D6">
            <v>21944</v>
          </cell>
        </row>
        <row r="8">
          <cell r="C8">
            <v>170515</v>
          </cell>
          <cell r="D8">
            <v>89650</v>
          </cell>
        </row>
        <row r="9">
          <cell r="C9">
            <v>37171</v>
          </cell>
          <cell r="D9">
            <v>18953</v>
          </cell>
        </row>
        <row r="11">
          <cell r="C11">
            <v>76356</v>
          </cell>
          <cell r="D11">
            <v>62163</v>
          </cell>
        </row>
        <row r="13">
          <cell r="C13">
            <v>388722</v>
          </cell>
          <cell r="D13">
            <v>233021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g1 Adhérents"/>
      <sheetName val="31-g2 Cotisation moyenne"/>
      <sheetName val="31-g3 pdt X tranver"/>
      <sheetName val="er-g1 (2)"/>
      <sheetName val="31-g4 prop cotis actifs"/>
      <sheetName val="31-g5 pdt x age pr adh + nvx"/>
      <sheetName val="er-g2 (2)"/>
      <sheetName val="31-g6-Evol NVX cot par age"/>
      <sheetName val="31-g7 Nbcoti sexe contrat"/>
      <sheetName val="er-g3 (2)"/>
    </sheetNames>
    <sheetDataSet>
      <sheetData sheetId="4">
        <row r="35">
          <cell r="L35">
            <v>35.53730963151489</v>
          </cell>
        </row>
        <row r="36">
          <cell r="L36">
            <v>9.541756862507585</v>
          </cell>
        </row>
        <row r="37">
          <cell r="L37">
            <v>4.898103891037403</v>
          </cell>
        </row>
        <row r="38">
          <cell r="L38">
            <v>4.9652614582407395</v>
          </cell>
        </row>
        <row r="39">
          <cell r="L39">
            <v>21.552019459527955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2"/>
  <sheetViews>
    <sheetView tabSelected="1" zoomScalePageLayoutView="0" workbookViewId="0" topLeftCell="A1">
      <selection activeCell="H25" sqref="H25"/>
    </sheetView>
  </sheetViews>
  <sheetFormatPr defaultColWidth="11.421875" defaultRowHeight="12.75"/>
  <cols>
    <col min="1" max="1" width="1.421875" style="0" customWidth="1"/>
    <col min="2" max="2" width="9.57421875" style="0" customWidth="1"/>
    <col min="3" max="3" width="100.28125" style="0" bestFit="1" customWidth="1"/>
  </cols>
  <sheetData>
    <row r="2" ht="18">
      <c r="B2" s="230" t="s">
        <v>149</v>
      </c>
    </row>
    <row r="3" ht="15">
      <c r="B3" s="231" t="s">
        <v>247</v>
      </c>
    </row>
    <row r="4" ht="12.75">
      <c r="B4" s="232" t="s">
        <v>254</v>
      </c>
    </row>
    <row r="5" ht="12.75">
      <c r="B5" s="232"/>
    </row>
    <row r="6" ht="15">
      <c r="B6" s="231" t="s">
        <v>248</v>
      </c>
    </row>
    <row r="7" ht="15">
      <c r="B7" s="231"/>
    </row>
    <row r="8" ht="15">
      <c r="B8" s="231" t="s">
        <v>155</v>
      </c>
    </row>
    <row r="9" ht="12.75">
      <c r="B9" s="232" t="s">
        <v>153</v>
      </c>
    </row>
    <row r="11" ht="12.75">
      <c r="B11" s="87"/>
    </row>
    <row r="12" spans="1:3" ht="12.75">
      <c r="A12" s="227"/>
      <c r="B12" s="225" t="s">
        <v>150</v>
      </c>
      <c r="C12" s="87"/>
    </row>
    <row r="13" spans="1:3" ht="12.75">
      <c r="A13" s="227"/>
      <c r="B13" s="226" t="s">
        <v>229</v>
      </c>
      <c r="C13" s="333" t="s">
        <v>70</v>
      </c>
    </row>
    <row r="14" spans="1:3" ht="12.75">
      <c r="A14" s="227"/>
      <c r="B14" s="226" t="s">
        <v>230</v>
      </c>
      <c r="C14" s="333" t="s">
        <v>207</v>
      </c>
    </row>
    <row r="15" spans="1:3" ht="12.75">
      <c r="A15" s="227"/>
      <c r="B15" s="226" t="s">
        <v>231</v>
      </c>
      <c r="C15" s="333" t="s">
        <v>71</v>
      </c>
    </row>
    <row r="16" spans="1:3" ht="12.75">
      <c r="A16" s="227"/>
      <c r="B16" s="226" t="s">
        <v>232</v>
      </c>
      <c r="C16" s="333" t="s">
        <v>176</v>
      </c>
    </row>
    <row r="17" spans="1:3" ht="12.75">
      <c r="A17" s="227"/>
      <c r="B17" s="226" t="s">
        <v>233</v>
      </c>
      <c r="C17" s="333" t="s">
        <v>131</v>
      </c>
    </row>
    <row r="18" spans="2:3" ht="12.75">
      <c r="B18" s="196"/>
      <c r="C18" s="229"/>
    </row>
    <row r="19" spans="1:3" ht="12.75">
      <c r="A19" s="228"/>
      <c r="B19" s="225" t="s">
        <v>151</v>
      </c>
      <c r="C19" s="229"/>
    </row>
    <row r="20" spans="1:3" ht="12.75">
      <c r="A20" s="228"/>
      <c r="B20" s="226" t="s">
        <v>240</v>
      </c>
      <c r="C20" s="333" t="s">
        <v>72</v>
      </c>
    </row>
    <row r="21" spans="1:3" ht="12.75">
      <c r="A21" s="228"/>
      <c r="B21" s="226" t="s">
        <v>241</v>
      </c>
      <c r="C21" s="333" t="s">
        <v>73</v>
      </c>
    </row>
    <row r="22" spans="1:3" ht="12.75">
      <c r="A22" s="228"/>
      <c r="B22" s="226" t="s">
        <v>242</v>
      </c>
      <c r="C22" s="333" t="s">
        <v>257</v>
      </c>
    </row>
    <row r="23" spans="1:3" ht="12.75">
      <c r="A23" s="228"/>
      <c r="B23" s="226" t="s">
        <v>243</v>
      </c>
      <c r="C23" s="333" t="s">
        <v>208</v>
      </c>
    </row>
    <row r="24" spans="1:3" ht="12.75">
      <c r="A24" s="228"/>
      <c r="B24" s="226" t="s">
        <v>244</v>
      </c>
      <c r="C24" s="333" t="s">
        <v>258</v>
      </c>
    </row>
    <row r="25" spans="1:3" ht="12.75">
      <c r="A25" s="228"/>
      <c r="B25" s="226" t="s">
        <v>245</v>
      </c>
      <c r="C25" s="333" t="s">
        <v>209</v>
      </c>
    </row>
    <row r="26" spans="1:3" ht="12.75">
      <c r="A26" s="228"/>
      <c r="B26" s="226" t="s">
        <v>246</v>
      </c>
      <c r="C26" s="333" t="s">
        <v>259</v>
      </c>
    </row>
    <row r="27" spans="2:3" ht="12.75">
      <c r="B27" s="196"/>
      <c r="C27" s="229"/>
    </row>
    <row r="28" spans="1:3" ht="12.75">
      <c r="A28" s="227"/>
      <c r="B28" s="225" t="s">
        <v>152</v>
      </c>
      <c r="C28" s="229"/>
    </row>
    <row r="29" spans="1:3" ht="12.75">
      <c r="A29" s="227"/>
      <c r="B29" s="226" t="s">
        <v>234</v>
      </c>
      <c r="C29" s="333" t="s">
        <v>260</v>
      </c>
    </row>
    <row r="30" spans="1:3" ht="12.75">
      <c r="A30" s="227"/>
      <c r="B30" s="226" t="s">
        <v>235</v>
      </c>
      <c r="C30" s="333" t="s">
        <v>261</v>
      </c>
    </row>
    <row r="31" spans="1:3" ht="12.75">
      <c r="A31" s="227"/>
      <c r="B31" s="226" t="s">
        <v>236</v>
      </c>
      <c r="C31" s="333" t="s">
        <v>210</v>
      </c>
    </row>
    <row r="32" spans="1:3" ht="12.75">
      <c r="A32" s="227"/>
      <c r="B32" s="226" t="s">
        <v>237</v>
      </c>
      <c r="C32" s="333" t="s">
        <v>262</v>
      </c>
    </row>
    <row r="33" spans="1:3" ht="12.75">
      <c r="A33" s="227"/>
      <c r="B33" s="226" t="s">
        <v>238</v>
      </c>
      <c r="C33" s="333" t="s">
        <v>263</v>
      </c>
    </row>
    <row r="34" spans="1:3" ht="12.75">
      <c r="A34" s="227"/>
      <c r="B34" s="226" t="s">
        <v>239</v>
      </c>
      <c r="C34" s="333" t="s">
        <v>264</v>
      </c>
    </row>
    <row r="35" spans="2:3" ht="12.75">
      <c r="B35" s="196"/>
      <c r="C35" s="229"/>
    </row>
    <row r="36" ht="12.75">
      <c r="C36" s="87"/>
    </row>
    <row r="37" ht="12.75">
      <c r="B37" s="87" t="s">
        <v>74</v>
      </c>
    </row>
    <row r="38" ht="12.75">
      <c r="B38" s="88" t="s">
        <v>249</v>
      </c>
    </row>
    <row r="39" ht="12.75">
      <c r="B39" s="88" t="s">
        <v>75</v>
      </c>
    </row>
    <row r="40" ht="12.75">
      <c r="B40" s="88" t="s">
        <v>76</v>
      </c>
    </row>
    <row r="42" spans="2:3" ht="12.75">
      <c r="B42" s="333" t="s">
        <v>250</v>
      </c>
      <c r="C42" s="338" t="s">
        <v>196</v>
      </c>
    </row>
  </sheetData>
  <sheetProtection/>
  <hyperlinks>
    <hyperlink ref="C13" location="'30-T1'!A1" display="Montants des versements effectués au titre de la retraite supplémentaire"/>
    <hyperlink ref="C20" location="'31-G1'!A1" display="Adhérents aux dispositifs de retraite supplémentaire"/>
    <hyperlink ref="C21" location="'31-G2'!A1" display="Montant de la cotisation annuelle moyenne versée par type de contrat de retraite supplémentaire"/>
    <hyperlink ref="C22" location="'31-G3'!A1" display="Part des cotisants à un produit de retraite supplémentaire en 2017 selon la tranche annuelle de versement (hors « art. 82 et 39 »)"/>
    <hyperlink ref="C24" location="'31-G5'!A1" display="Part des classes d’âges parmi les adhérents (nouveaux adhérents inclus) à un contrat de retraite supplémentaire en 2017 (hors « articles 82 et 39 »)"/>
    <hyperlink ref="C25" location="'31-G6'!A1" display="Évolution de la répartition de nouveaux adhérents à un produit de retraite supplémentaire par classe d'âge (hors « articles 82 et 39 »)"/>
    <hyperlink ref="C26" location="'31-G7'!A1" display="Les adhérents à un produit de retraite supplémentaire en 2017 par sexe selon les dispositifs"/>
    <hyperlink ref="C29" location="'32-G1 &amp; G2'!A1" display="Bénéficiaires d'une rente et montants moyens des prestations annuelles de retraite supplémentaire facultative de 2009 à 2017"/>
    <hyperlink ref="C31" location="'32-G4'!A1" display="Évolution de la part des bénéficiaires d'une rente viagère (hors réversion) issue d'un produit de retraite supplémentaire parmi l'ensemble des retraités"/>
    <hyperlink ref="C32" location="'32-G5'!A1" display="Bénéficiaires de rentes viagères perçues en 2017 par tranche de rente annuelle"/>
    <hyperlink ref="C33" location="'32-G6'!A1" display="Bénéficiaires de rentes viagères en 2017 par tranche d'âge selon le dispositif"/>
    <hyperlink ref="C34" location="'32-G7'!A1" display="Bénéficiaires de rentes en 2017 par sexe selon les dispositifs"/>
    <hyperlink ref="C14" location="'30-T2'!A1" display="Montants des prestations au titre de la retraite supplémentaire"/>
    <hyperlink ref="C15" location="'30-T3'!A1" display="Montants des provisions mathématiques au titre de la retraite supplémentaire "/>
    <hyperlink ref="C16" location="'30-G1'!A1" display="Répartition des masses de cotisations, prestations et provisions mathématiques, au titre de la retraite supplémentaire en fontion du type d'organisme"/>
    <hyperlink ref="C17" location="'30-G2'!A1" display="Part de la retraite supplémentaire dans l'ensemble des régimes de retraite (obligatoire et facultative)"/>
    <hyperlink ref="C23" location="'31-G4'!A1" display="Évolution de la part des cotisants à un produit de retraite supplémentaire parmi les actifs occupés (hors « articles 39 »)"/>
    <hyperlink ref="C30" location="'32-G3'!A1" display="Nature de la rente viagère en fonction du type de contrat en 2017"/>
    <hyperlink ref="B42" location="Inflation!A1" display="Inflation"/>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B1:BS38"/>
  <sheetViews>
    <sheetView zoomScalePageLayoutView="0" workbookViewId="0" topLeftCell="A1">
      <selection activeCell="A1" sqref="A1"/>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58" t="s">
        <v>223</v>
      </c>
      <c r="C1" s="458"/>
      <c r="D1" s="458"/>
      <c r="E1" s="458"/>
      <c r="F1" s="458"/>
      <c r="G1" s="458"/>
    </row>
    <row r="2" ht="15" customHeight="1">
      <c r="B2" s="1"/>
    </row>
    <row r="3" spans="2:7" ht="15" customHeight="1">
      <c r="B3" s="4"/>
      <c r="G3" s="24" t="s">
        <v>66</v>
      </c>
    </row>
    <row r="4" spans="2:7" s="1" customFormat="1" ht="15" customHeight="1">
      <c r="B4" s="197"/>
      <c r="C4" s="120" t="s">
        <v>24</v>
      </c>
      <c r="D4" s="120" t="s">
        <v>44</v>
      </c>
      <c r="E4" s="120" t="s">
        <v>45</v>
      </c>
      <c r="F4" s="120" t="s">
        <v>46</v>
      </c>
      <c r="G4" s="120" t="s">
        <v>47</v>
      </c>
    </row>
    <row r="5" spans="2:7" ht="15" customHeight="1">
      <c r="B5" s="6" t="s">
        <v>62</v>
      </c>
      <c r="C5" s="319">
        <f>SUM('[2]TranchesVersements'!D4:D5,'[2]TranchesVersements'!D8:D10,'[2]TranchesVersements'!D12)/SUM('[2]TranchesVersements'!$D$4:$H$5,'[2]TranchesVersements'!$D$8:$H$10,'[2]TranchesVersements'!$D$12:$H$12)*100</f>
        <v>35.55395718844669</v>
      </c>
      <c r="D5" s="319">
        <f>SUM('[2]TranchesVersements'!E4:E5,'[2]TranchesVersements'!E8:E10,'[2]TranchesVersements'!E12)/SUM('[2]TranchesVersements'!$D$4:$H$5,'[2]TranchesVersements'!$D$8:$H$10,'[2]TranchesVersements'!$D$12:$H$12)*100</f>
        <v>32.99259152877775</v>
      </c>
      <c r="E5" s="319">
        <f>SUM('[2]TranchesVersements'!F4:F5,'[2]TranchesVersements'!F8:F10,'[2]TranchesVersements'!F12)/SUM('[2]TranchesVersements'!$D$4:$H$5,'[2]TranchesVersements'!$D$8:$H$10,'[2]TranchesVersements'!$D$12:$H$12)*100</f>
        <v>12.904522206370794</v>
      </c>
      <c r="F5" s="319">
        <f>SUM('[2]TranchesVersements'!G4:G5,'[2]TranchesVersements'!G8:G10,'[2]TranchesVersements'!G12)/SUM('[2]TranchesVersements'!$D$4:$H$5,'[2]TranchesVersements'!$D$8:$H$10,'[2]TranchesVersements'!$D$12:$H$12)*100</f>
        <v>11.110782709705678</v>
      </c>
      <c r="G5" s="319">
        <f>SUM('[2]TranchesVersements'!H4:H5,'[2]TranchesVersements'!H8:H10,'[2]TranchesVersements'!H12)/SUM('[2]TranchesVersements'!$D$4:$H$5,'[2]TranchesVersements'!$D$8:$H$10,'[2]TranchesVersements'!$D$12:$H$12)*100</f>
        <v>7.438146366699093</v>
      </c>
    </row>
    <row r="6" spans="2:7" ht="15" customHeight="1">
      <c r="B6" s="52" t="s">
        <v>15</v>
      </c>
      <c r="C6" s="320">
        <f>'[2]TranchesVersements'!D4/SUM('[2]TranchesVersements'!$D4:$H4)*100</f>
        <v>33.217344601622045</v>
      </c>
      <c r="D6" s="320">
        <f>'[2]TranchesVersements'!E4/SUM('[2]TranchesVersements'!$D4:$H4)*100</f>
        <v>40.54949957658666</v>
      </c>
      <c r="E6" s="320">
        <f>'[2]TranchesVersements'!F4/SUM('[2]TranchesVersements'!$D4:$H4)*100</f>
        <v>11.5111593568664</v>
      </c>
      <c r="F6" s="320">
        <f>'[2]TranchesVersements'!G4/SUM('[2]TranchesVersements'!$D4:$H4)*100</f>
        <v>8.664912390381414</v>
      </c>
      <c r="G6" s="320">
        <f>'[2]TranchesVersements'!H4/SUM('[2]TranchesVersements'!$D4:$H4)*100</f>
        <v>6.057084074543481</v>
      </c>
    </row>
    <row r="7" spans="2:7" ht="15" customHeight="1">
      <c r="B7" s="52" t="s">
        <v>28</v>
      </c>
      <c r="C7" s="320">
        <f>'[2]TranchesVersements'!D5/SUM('[2]TranchesVersements'!$D5:$H5)*100</f>
        <v>40.246842666142655</v>
      </c>
      <c r="D7" s="320">
        <f>'[2]TranchesVersements'!E5/SUM('[2]TranchesVersements'!$D5:$H5)*100</f>
        <v>46.43415891346903</v>
      </c>
      <c r="E7" s="320">
        <f>'[2]TranchesVersements'!F5/SUM('[2]TranchesVersements'!$D5:$H5)*100</f>
        <v>7.873495023089538</v>
      </c>
      <c r="F7" s="320">
        <f>'[2]TranchesVersements'!G5/SUM('[2]TranchesVersements'!$D5:$H5)*100</f>
        <v>4.128908405196847</v>
      </c>
      <c r="G7" s="320">
        <f>'[2]TranchesVersements'!H5/SUM('[2]TranchesVersements'!$D5:$H5)*100</f>
        <v>1.3165949921019418</v>
      </c>
    </row>
    <row r="8" spans="2:7" ht="15" customHeight="1">
      <c r="B8" s="52" t="s">
        <v>42</v>
      </c>
      <c r="C8" s="320">
        <f>'[2]TranchesVersements'!D8/SUM('[2]TranchesVersements'!$D8:$H8)*100</f>
        <v>17.54310798529933</v>
      </c>
      <c r="D8" s="320">
        <f>'[2]TranchesVersements'!E8/SUM('[2]TranchesVersements'!$D8:$H8)*100</f>
        <v>24.880249419222654</v>
      </c>
      <c r="E8" s="320">
        <f>'[2]TranchesVersements'!F8/SUM('[2]TranchesVersements'!$D8:$H8)*100</f>
        <v>19.755769598548316</v>
      </c>
      <c r="F8" s="320">
        <f>'[2]TranchesVersements'!G8/SUM('[2]TranchesVersements'!$D8:$H8)*100</f>
        <v>22.99774508655695</v>
      </c>
      <c r="G8" s="320">
        <f>'[2]TranchesVersements'!H8/SUM('[2]TranchesVersements'!$D8:$H8)*100</f>
        <v>14.82312791037275</v>
      </c>
    </row>
    <row r="9" spans="2:7" ht="15" customHeight="1">
      <c r="B9" s="52" t="s">
        <v>89</v>
      </c>
      <c r="C9" s="320">
        <f>'[2]TranchesVersements'!D9/SUM('[2]TranchesVersements'!$D9:$H9)*100</f>
        <v>16.137775332920764</v>
      </c>
      <c r="D9" s="320">
        <f>'[2]TranchesVersements'!E9/SUM('[2]TranchesVersements'!$D9:$H9)*100</f>
        <v>67.26431960393316</v>
      </c>
      <c r="E9" s="320">
        <f>'[2]TranchesVersements'!F9/SUM('[2]TranchesVersements'!$D9:$H9)*100</f>
        <v>7.017121639276628</v>
      </c>
      <c r="F9" s="320">
        <f>'[2]TranchesVersements'!G9/SUM('[2]TranchesVersements'!$D9:$H9)*100</f>
        <v>6.924866487886497</v>
      </c>
      <c r="G9" s="320">
        <f>'[2]TranchesVersements'!H9/SUM('[2]TranchesVersements'!$D9:$H9)*100</f>
        <v>2.655916935982947</v>
      </c>
    </row>
    <row r="10" spans="2:7" ht="15" customHeight="1">
      <c r="B10" s="52" t="s">
        <v>4</v>
      </c>
      <c r="C10" s="320">
        <f>'[2]TranchesVersements'!D10/SUM('[2]TranchesVersements'!$D10:$H10)*100</f>
        <v>28.56993554573907</v>
      </c>
      <c r="D10" s="320">
        <f>'[2]TranchesVersements'!E10/SUM('[2]TranchesVersements'!$D10:$H10)*100</f>
        <v>27.219579288154982</v>
      </c>
      <c r="E10" s="320">
        <f>'[2]TranchesVersements'!F10/SUM('[2]TranchesVersements'!$D10:$H10)*100</f>
        <v>17.500939409484406</v>
      </c>
      <c r="F10" s="320">
        <f>'[2]TranchesVersements'!G10/SUM('[2]TranchesVersements'!$D10:$H10)*100</f>
        <v>14.78211683461686</v>
      </c>
      <c r="G10" s="320">
        <f>'[2]TranchesVersements'!H10/SUM('[2]TranchesVersements'!$D10:$H10)*100</f>
        <v>11.927428922004681</v>
      </c>
    </row>
    <row r="11" spans="2:7" ht="14.25" customHeight="1">
      <c r="B11" s="11" t="s">
        <v>68</v>
      </c>
      <c r="C11" s="321">
        <f>'[2]TranchesVersements'!D12/SUM('[2]TranchesVersements'!$D$12:$H$12)*100</f>
        <v>48.08682765411046</v>
      </c>
      <c r="D11" s="321">
        <f>'[2]TranchesVersements'!E12/SUM('[2]TranchesVersements'!$D$12:$H$12)*100</f>
        <v>31.902260523564465</v>
      </c>
      <c r="E11" s="321">
        <f>'[2]TranchesVersements'!F12/SUM('[2]TranchesVersements'!$D$12:$H$12)*100</f>
        <v>9.329861851254098</v>
      </c>
      <c r="F11" s="321">
        <f>'[2]TranchesVersements'!G12/SUM('[2]TranchesVersements'!$D$12:$H$12)*100</f>
        <v>6.887948272886913</v>
      </c>
      <c r="G11" s="321">
        <f>'[2]TranchesVersements'!H12/SUM('[2]TranchesVersements'!$D$12:$H$12)*100</f>
        <v>3.7931016981840697</v>
      </c>
    </row>
    <row r="13" spans="2:5" ht="11.25">
      <c r="B13" s="17"/>
      <c r="C13" s="46"/>
      <c r="D13" s="46"/>
      <c r="E13" s="4"/>
    </row>
    <row r="14" spans="2:5" ht="11.25">
      <c r="B14" s="4"/>
      <c r="C14" s="46"/>
      <c r="D14" s="46"/>
      <c r="E14" s="4"/>
    </row>
    <row r="15" spans="2:5" ht="11.25">
      <c r="B15" s="54"/>
      <c r="C15" s="46"/>
      <c r="D15" s="46"/>
      <c r="E15" s="4"/>
    </row>
    <row r="16" spans="2:5" ht="11.25">
      <c r="B16" s="26"/>
      <c r="C16" s="46"/>
      <c r="D16" s="4"/>
      <c r="E16" s="4"/>
    </row>
    <row r="17" spans="2:5" ht="11.25" customHeight="1">
      <c r="B17" s="4"/>
      <c r="C17" s="46"/>
      <c r="D17" s="4"/>
      <c r="E17" s="4"/>
    </row>
    <row r="20" ht="11.25">
      <c r="F20" s="55"/>
    </row>
    <row r="21" ht="11.25">
      <c r="F21" s="55"/>
    </row>
    <row r="22" ht="11.25">
      <c r="F22" s="55"/>
    </row>
    <row r="23" ht="11.25">
      <c r="F23" s="55"/>
    </row>
    <row r="24" spans="7:9" ht="11.25">
      <c r="G24" s="3"/>
      <c r="I24" s="3"/>
    </row>
    <row r="25" spans="3:5" ht="11.25">
      <c r="C25" s="4"/>
      <c r="D25" s="4"/>
      <c r="E25" s="4"/>
    </row>
    <row r="27" spans="2:51" ht="11.25">
      <c r="B27" s="14"/>
      <c r="H27" s="14"/>
      <c r="I27" s="31"/>
      <c r="J27" s="31"/>
      <c r="K27" s="31"/>
      <c r="L27" s="31"/>
      <c r="M27" s="31"/>
      <c r="N27" s="32"/>
      <c r="O27" s="33"/>
      <c r="P27" s="33"/>
      <c r="Q27" s="20"/>
      <c r="R27" s="31"/>
      <c r="S27" s="31"/>
      <c r="T27" s="31"/>
      <c r="U27" s="31"/>
      <c r="V27" s="31"/>
      <c r="W27" s="31"/>
      <c r="X27" s="32"/>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8:51" ht="11.25">
      <c r="H28" s="31"/>
      <c r="I28" s="31"/>
      <c r="J28" s="31"/>
      <c r="K28" s="31"/>
      <c r="L28" s="31"/>
      <c r="M28" s="31"/>
      <c r="N28" s="32"/>
      <c r="O28" s="33"/>
      <c r="P28" s="33"/>
      <c r="Q28" s="20"/>
      <c r="R28" s="31"/>
      <c r="S28" s="31"/>
      <c r="T28" s="31"/>
      <c r="U28" s="31"/>
      <c r="V28" s="31"/>
      <c r="W28" s="31"/>
      <c r="X28" s="32"/>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2:51" ht="11.25">
      <c r="B29" s="25"/>
      <c r="H29" s="31"/>
      <c r="I29" s="31"/>
      <c r="J29" s="31"/>
      <c r="K29" s="31"/>
      <c r="L29" s="31"/>
      <c r="M29" s="31"/>
      <c r="N29" s="32"/>
      <c r="O29" s="33"/>
      <c r="P29" s="33"/>
      <c r="Q29" s="20"/>
      <c r="R29" s="31"/>
      <c r="S29" s="31"/>
      <c r="T29" s="31"/>
      <c r="U29" s="31"/>
      <c r="V29" s="31"/>
      <c r="W29" s="31"/>
      <c r="X29" s="32"/>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2:71" ht="11.25">
      <c r="B30" s="4"/>
      <c r="H30" s="31"/>
      <c r="I30" s="34"/>
      <c r="J30" s="34"/>
      <c r="K30" s="34"/>
      <c r="L30" s="34"/>
      <c r="M30" s="34"/>
      <c r="N30" s="34"/>
      <c r="O30" s="4"/>
      <c r="P30" s="4"/>
      <c r="Q30" s="20"/>
      <c r="R30" s="34"/>
      <c r="S30" s="34"/>
      <c r="T30" s="34"/>
      <c r="U30" s="34"/>
      <c r="V30" s="34"/>
      <c r="W30" s="34"/>
      <c r="X30" s="3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row>
    <row r="31" spans="8:71" ht="11.25">
      <c r="H31" s="34"/>
      <c r="I31" s="15"/>
      <c r="J31" s="15"/>
      <c r="K31" s="15"/>
      <c r="L31" s="15"/>
      <c r="M31" s="31"/>
      <c r="N31" s="31"/>
      <c r="O31" s="4"/>
      <c r="P31" s="4"/>
      <c r="Q31" s="20"/>
      <c r="R31" s="15"/>
      <c r="S31" s="15"/>
      <c r="T31" s="15"/>
      <c r="U31" s="15"/>
      <c r="V31" s="15"/>
      <c r="W31" s="31"/>
      <c r="X31" s="31"/>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row>
    <row r="32" spans="8:71" ht="11.25">
      <c r="H32" s="27"/>
      <c r="I32" s="35"/>
      <c r="J32" s="35"/>
      <c r="K32" s="35"/>
      <c r="L32" s="35"/>
      <c r="M32" s="35"/>
      <c r="N32" s="31"/>
      <c r="O32" s="4"/>
      <c r="P32" s="4"/>
      <c r="Q32" s="20"/>
      <c r="R32" s="35"/>
      <c r="S32" s="35"/>
      <c r="T32" s="35"/>
      <c r="U32" s="35"/>
      <c r="V32" s="35"/>
      <c r="W32" s="35"/>
      <c r="X32" s="31"/>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row>
    <row r="33" spans="8:71" ht="11.25">
      <c r="H33" s="27"/>
      <c r="I33" s="35"/>
      <c r="J33" s="35"/>
      <c r="K33" s="35"/>
      <c r="L33" s="35"/>
      <c r="M33" s="35"/>
      <c r="N33" s="35"/>
      <c r="O33" s="4"/>
      <c r="P33" s="4"/>
      <c r="Q33" s="20"/>
      <c r="R33" s="35"/>
      <c r="S33" s="35"/>
      <c r="T33" s="35"/>
      <c r="U33" s="35"/>
      <c r="V33" s="35"/>
      <c r="W33" s="35"/>
      <c r="X33" s="35"/>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row>
    <row r="34" spans="8:71" ht="11.25">
      <c r="H34" s="27"/>
      <c r="I34" s="35"/>
      <c r="J34" s="35"/>
      <c r="K34" s="35"/>
      <c r="L34" s="35"/>
      <c r="M34" s="35"/>
      <c r="N34" s="31"/>
      <c r="O34" s="4"/>
      <c r="P34" s="4"/>
      <c r="Q34" s="20"/>
      <c r="R34" s="35"/>
      <c r="S34" s="35"/>
      <c r="T34" s="35"/>
      <c r="U34" s="35"/>
      <c r="V34" s="35"/>
      <c r="W34" s="35"/>
      <c r="X34" s="31"/>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row>
    <row r="35" spans="8:71" ht="11.25">
      <c r="H35" s="27"/>
      <c r="I35" s="35"/>
      <c r="J35" s="35"/>
      <c r="K35" s="35"/>
      <c r="L35" s="35"/>
      <c r="M35" s="35"/>
      <c r="N35" s="4"/>
      <c r="O35" s="4"/>
      <c r="P35" s="4"/>
      <c r="Q35" s="20"/>
      <c r="R35" s="35"/>
      <c r="S35" s="35"/>
      <c r="T35" s="35"/>
      <c r="U35" s="35"/>
      <c r="V35" s="35"/>
      <c r="W35" s="35"/>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row>
    <row r="36" spans="8:71" ht="11.25">
      <c r="H36" s="27"/>
      <c r="I36" s="35"/>
      <c r="J36" s="35"/>
      <c r="K36" s="35"/>
      <c r="L36" s="35"/>
      <c r="M36" s="35"/>
      <c r="N36" s="4"/>
      <c r="O36" s="4"/>
      <c r="P36" s="4"/>
      <c r="Q36" s="20"/>
      <c r="R36" s="35"/>
      <c r="S36" s="35"/>
      <c r="T36" s="35"/>
      <c r="U36" s="35"/>
      <c r="V36" s="35"/>
      <c r="W36" s="35"/>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row>
    <row r="37" spans="9:71" ht="11.25">
      <c r="I37" s="35"/>
      <c r="J37" s="35"/>
      <c r="K37" s="35"/>
      <c r="L37" s="35"/>
      <c r="M37" s="35"/>
      <c r="N37" s="4"/>
      <c r="O37" s="4"/>
      <c r="P37" s="4"/>
      <c r="Q37" s="20"/>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row>
    <row r="38" spans="3:8" ht="11.25">
      <c r="C38" s="4"/>
      <c r="D38" s="16"/>
      <c r="E38" s="4"/>
      <c r="F38" s="4"/>
      <c r="G38" s="4"/>
      <c r="H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B1:J34"/>
  <sheetViews>
    <sheetView zoomScalePageLayoutView="0" workbookViewId="0" topLeftCell="A1">
      <selection activeCell="AA16" sqref="W16:AA16"/>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58" t="s">
        <v>225</v>
      </c>
      <c r="C1" s="458"/>
      <c r="D1" s="458"/>
      <c r="E1" s="458"/>
      <c r="F1" s="458"/>
      <c r="G1" s="458"/>
      <c r="H1" s="458"/>
      <c r="I1" s="14"/>
      <c r="J1" s="14"/>
    </row>
    <row r="3" ht="16.5" customHeight="1">
      <c r="H3" s="24" t="s">
        <v>66</v>
      </c>
    </row>
    <row r="4" spans="2:8" s="1" customFormat="1" ht="15" customHeight="1">
      <c r="B4" s="122"/>
      <c r="C4" s="122"/>
      <c r="D4" s="120" t="s">
        <v>43</v>
      </c>
      <c r="E4" s="120" t="s">
        <v>48</v>
      </c>
      <c r="F4" s="120" t="s">
        <v>49</v>
      </c>
      <c r="G4" s="120" t="s">
        <v>50</v>
      </c>
      <c r="H4" s="120" t="s">
        <v>16</v>
      </c>
    </row>
    <row r="5" spans="2:8" ht="15" customHeight="1">
      <c r="B5" s="121"/>
      <c r="C5" s="123" t="s">
        <v>17</v>
      </c>
      <c r="D5" s="125">
        <v>19.338121940265065</v>
      </c>
      <c r="E5" s="125">
        <v>23.943478028136635</v>
      </c>
      <c r="F5" s="125">
        <v>25.69911338199392</v>
      </c>
      <c r="G5" s="125">
        <v>24.31082226203995</v>
      </c>
      <c r="H5" s="125">
        <v>6.708464387564423</v>
      </c>
    </row>
    <row r="6" spans="2:8" ht="15" customHeight="1">
      <c r="B6" s="459" t="s">
        <v>18</v>
      </c>
      <c r="C6" s="126" t="s">
        <v>52</v>
      </c>
      <c r="D6" s="221">
        <f>SUM('[2]TranchesAgeTous'!C$4:C$5,'[2]TranchesAgeTous'!C$8:C$10,'[2]TranchesAgeTous'!C$13)/SUM('[2]TranchesAgeTous'!$C$4:$G$5,'[2]TranchesAgeTous'!$C$8:$G$10,'[2]TranchesAgeTous'!$C$13:$G$13)*100</f>
        <v>8.601905914833008</v>
      </c>
      <c r="E6" s="221">
        <f>SUM('[2]TranchesAgeTous'!D$4:D$5,'[2]TranchesAgeTous'!D$8:D$10,'[2]TranchesAgeTous'!D$13)/SUM('[2]TranchesAgeTous'!$C$4:$G$5,'[2]TranchesAgeTous'!$C$8:$G$10,'[2]TranchesAgeTous'!$C$13:$G$13)*100</f>
        <v>19.962896024427717</v>
      </c>
      <c r="F6" s="221">
        <f>SUM('[2]TranchesAgeTous'!E$4:E$5,'[2]TranchesAgeTous'!E$8:E$10,'[2]TranchesAgeTous'!E$13)/SUM('[2]TranchesAgeTous'!$C$4:$G$5,'[2]TranchesAgeTous'!$C$8:$G$10,'[2]TranchesAgeTous'!$C$13:$G$13)*100</f>
        <v>26.720844702913844</v>
      </c>
      <c r="G6" s="221">
        <f>SUM('[2]TranchesAgeTous'!F$4:F$5,'[2]TranchesAgeTous'!F$8:F$10,'[2]TranchesAgeTous'!F$13)/SUM('[2]TranchesAgeTous'!$C$4:$G$5,'[2]TranchesAgeTous'!$C$8:$G$10,'[2]TranchesAgeTous'!$C$13:$G$13)*100</f>
        <v>30.19102100317767</v>
      </c>
      <c r="H6" s="221">
        <f>SUM('[2]TranchesAgeTous'!G$4:G$5,'[2]TranchesAgeTous'!G$8:G$10,'[2]TranchesAgeTous'!G$13)/SUM('[2]TranchesAgeTous'!$C$4:$G$5,'[2]TranchesAgeTous'!$C$8:$G$10,'[2]TranchesAgeTous'!$C$13:$G$13)*100</f>
        <v>14.523332354647762</v>
      </c>
    </row>
    <row r="7" spans="2:8" ht="15" customHeight="1">
      <c r="B7" s="459"/>
      <c r="C7" s="10" t="s">
        <v>15</v>
      </c>
      <c r="D7" s="219">
        <f>'[2]TranchesAgeTous'!C4/SUM('[2]TranchesAgeTous'!$C4:$G4)*100</f>
        <v>0.9848910612160385</v>
      </c>
      <c r="E7" s="219">
        <f>'[2]TranchesAgeTous'!D4/SUM('[2]TranchesAgeTous'!$C4:$G4)*100</f>
        <v>15.207774682710246</v>
      </c>
      <c r="F7" s="219">
        <f>'[2]TranchesAgeTous'!E4/SUM('[2]TranchesAgeTous'!$C4:$G4)*100</f>
        <v>28.907817419801656</v>
      </c>
      <c r="G7" s="219">
        <f>'[2]TranchesAgeTous'!F4/SUM('[2]TranchesAgeTous'!$C4:$G4)*100</f>
        <v>36.84227973313287</v>
      </c>
      <c r="H7" s="219">
        <f>'[2]TranchesAgeTous'!G4/SUM('[2]TranchesAgeTous'!$C4:$G4)*100</f>
        <v>18.057237103139187</v>
      </c>
    </row>
    <row r="8" spans="2:8" ht="15" customHeight="1">
      <c r="B8" s="459"/>
      <c r="C8" s="10" t="s">
        <v>42</v>
      </c>
      <c r="D8" s="219">
        <f>'[2]TranchesAgeTous'!C8/SUM('[2]TranchesAgeTous'!$C8:$G8)*100</f>
        <v>1.7526682275671237</v>
      </c>
      <c r="E8" s="219">
        <f>'[2]TranchesAgeTous'!D8/SUM('[2]TranchesAgeTous'!$C8:$G8)*100</f>
        <v>13.742555677666815</v>
      </c>
      <c r="F8" s="219">
        <f>'[2]TranchesAgeTous'!E8/SUM('[2]TranchesAgeTous'!$C8:$G8)*100</f>
        <v>30.442163425409085</v>
      </c>
      <c r="G8" s="219">
        <f>'[2]TranchesAgeTous'!F8/SUM('[2]TranchesAgeTous'!$C8:$G8)*100</f>
        <v>38.470433388790184</v>
      </c>
      <c r="H8" s="219">
        <f>'[2]TranchesAgeTous'!G8/SUM('[2]TranchesAgeTous'!$C8:$G8)*100</f>
        <v>15.59217928056679</v>
      </c>
    </row>
    <row r="9" spans="2:8" ht="15" customHeight="1">
      <c r="B9" s="459"/>
      <c r="C9" s="10" t="s">
        <v>90</v>
      </c>
      <c r="D9" s="219">
        <f>'[2]TranchesAgeTous'!C9/SUM('[2]TranchesAgeTous'!$C9:$G9)*100</f>
        <v>1.6189410467166332</v>
      </c>
      <c r="E9" s="219">
        <f>'[2]TranchesAgeTous'!D9/SUM('[2]TranchesAgeTous'!$C9:$G9)*100</f>
        <v>8.655015014047997</v>
      </c>
      <c r="F9" s="219">
        <f>'[2]TranchesAgeTous'!E9/SUM('[2]TranchesAgeTous'!$C9:$G9)*100</f>
        <v>21.951906743843434</v>
      </c>
      <c r="G9" s="219">
        <f>'[2]TranchesAgeTous'!F9/SUM('[2]TranchesAgeTous'!$C9:$G9)*100</f>
        <v>46.174034149915066</v>
      </c>
      <c r="H9" s="219">
        <f>'[2]TranchesAgeTous'!G9/SUM('[2]TranchesAgeTous'!$C9:$G9)*100</f>
        <v>21.600103045476867</v>
      </c>
    </row>
    <row r="10" spans="2:8" ht="15" customHeight="1">
      <c r="B10" s="459"/>
      <c r="C10" s="52" t="s">
        <v>28</v>
      </c>
      <c r="D10" s="219">
        <f>'[2]TranchesAgeTous'!C5/SUM('[2]TranchesAgeTous'!$C5:$G5)*100</f>
        <v>1.3676489257283342</v>
      </c>
      <c r="E10" s="219">
        <f>'[2]TranchesAgeTous'!D5/SUM('[2]TranchesAgeTous'!$C5:$G5)*100</f>
        <v>9.572303948130282</v>
      </c>
      <c r="F10" s="219">
        <f>'[2]TranchesAgeTous'!E5/SUM('[2]TranchesAgeTous'!$C5:$G5)*100</f>
        <v>27.249715911729826</v>
      </c>
      <c r="G10" s="219">
        <f>'[2]TranchesAgeTous'!F5/SUM('[2]TranchesAgeTous'!$C5:$G5)*100</f>
        <v>43.59431266120268</v>
      </c>
      <c r="H10" s="219">
        <f>'[2]TranchesAgeTous'!G5/SUM('[2]TranchesAgeTous'!$C5:$G5)*100</f>
        <v>18.216018553208883</v>
      </c>
    </row>
    <row r="11" spans="2:8" ht="15" customHeight="1">
      <c r="B11" s="459"/>
      <c r="C11" s="10" t="s">
        <v>4</v>
      </c>
      <c r="D11" s="219">
        <f>'[2]TranchesAgeTous'!C10/SUM('[2]TranchesAgeTous'!$C10:$G10)*100</f>
        <v>11.759856885576529</v>
      </c>
      <c r="E11" s="219">
        <f>'[2]TranchesAgeTous'!D10/SUM('[2]TranchesAgeTous'!$C10:$G10)*100</f>
        <v>22.683500737646998</v>
      </c>
      <c r="F11" s="219">
        <f>'[2]TranchesAgeTous'!E10/SUM('[2]TranchesAgeTous'!$C10:$G10)*100</f>
        <v>25.23553747446064</v>
      </c>
      <c r="G11" s="219">
        <f>'[2]TranchesAgeTous'!F10/SUM('[2]TranchesAgeTous'!$C10:$G10)*100</f>
        <v>26.62245673492581</v>
      </c>
      <c r="H11" s="219">
        <f>'[2]TranchesAgeTous'!G10/SUM('[2]TranchesAgeTous'!$C10:$G10)*100</f>
        <v>13.698648167390024</v>
      </c>
    </row>
    <row r="12" spans="2:8" ht="15" customHeight="1">
      <c r="B12" s="460"/>
      <c r="C12" s="11" t="s">
        <v>68</v>
      </c>
      <c r="D12" s="219">
        <f>'[2]TranchesAgeTous'!C13/SUM('[2]TranchesAgeTous'!$C13:$G13)*100</f>
        <v>12.807988108865828</v>
      </c>
      <c r="E12" s="219">
        <f>'[2]TranchesAgeTous'!D13/SUM('[2]TranchesAgeTous'!$C13:$G13)*100</f>
        <v>23.753130135911658</v>
      </c>
      <c r="F12" s="219">
        <f>'[2]TranchesAgeTous'!E13/SUM('[2]TranchesAgeTous'!$C13:$G13)*100</f>
        <v>25.957779688913813</v>
      </c>
      <c r="G12" s="219">
        <f>'[2]TranchesAgeTous'!F13/SUM('[2]TranchesAgeTous'!$C13:$G13)*100</f>
        <v>24.999268011116538</v>
      </c>
      <c r="H12" s="219">
        <f>'[2]TranchesAgeTous'!G13/SUM('[2]TranchesAgeTous'!$C13:$G13)*100</f>
        <v>12.481834055192163</v>
      </c>
    </row>
    <row r="13" spans="2:8" ht="15" customHeight="1">
      <c r="B13" s="459" t="s">
        <v>19</v>
      </c>
      <c r="C13" s="126" t="s">
        <v>53</v>
      </c>
      <c r="D13" s="221">
        <f>SUM('[2]TranchesAgeNouveaux'!C$4:C$5,'[2]TranchesAgeNouveaux'!C$8:C$10,'[2]TranchesAgeNouveaux'!C$13)/SUM('[2]TranchesAgeNouveaux'!$C$4:$G$5,'[2]TranchesAgeNouveaux'!$C$8:$G$10,'[2]TranchesAgeNouveaux'!$C$13:$G$13)*100</f>
        <v>25.889437117874447</v>
      </c>
      <c r="E13" s="221">
        <f>SUM('[2]TranchesAgeNouveaux'!D$4:D$5,'[2]TranchesAgeNouveaux'!D$8:D$10,'[2]TranchesAgeNouveaux'!D$13)/SUM('[2]TranchesAgeNouveaux'!$C$4:$G$5,'[2]TranchesAgeNouveaux'!$C$8:$G$10,'[2]TranchesAgeNouveaux'!$C$13:$G$13)*100</f>
        <v>27.282626881092366</v>
      </c>
      <c r="F13" s="221">
        <f>SUM('[2]TranchesAgeNouveaux'!E$4:E$5,'[2]TranchesAgeNouveaux'!E$8:E$10,'[2]TranchesAgeNouveaux'!E$13)/SUM('[2]TranchesAgeNouveaux'!$C$4:$G$5,'[2]TranchesAgeNouveaux'!$C$8:$G$10,'[2]TranchesAgeNouveaux'!$C$13:$G$13)*100</f>
        <v>23.34168885184022</v>
      </c>
      <c r="G13" s="221">
        <f>SUM('[2]TranchesAgeNouveaux'!F$4:F$5,'[2]TranchesAgeNouveaux'!F$8:F$10,'[2]TranchesAgeNouveaux'!F$13)/SUM('[2]TranchesAgeNouveaux'!$C$4:$G$5,'[2]TranchesAgeNouveaux'!$C$8:$G$10,'[2]TranchesAgeNouveaux'!$C$13:$G$13)*100</f>
        <v>18.82648014488117</v>
      </c>
      <c r="H13" s="221">
        <f>SUM('[2]TranchesAgeNouveaux'!G$4:G$5,'[2]TranchesAgeNouveaux'!G$8:G$10,'[2]TranchesAgeNouveaux'!G$13)/SUM('[2]TranchesAgeNouveaux'!$C$4:$G$5,'[2]TranchesAgeNouveaux'!$C$8:$G$10,'[2]TranchesAgeNouveaux'!$C$13:$G$13)*100</f>
        <v>4.659767004311799</v>
      </c>
    </row>
    <row r="14" spans="2:8" ht="15" customHeight="1">
      <c r="B14" s="460"/>
      <c r="C14" s="10" t="s">
        <v>15</v>
      </c>
      <c r="D14" s="219">
        <f>'[2]TranchesAgeNouveaux'!C4/SUM('[2]TranchesAgeNouveaux'!$C4:$G4)*100</f>
        <v>4.35230352303523</v>
      </c>
      <c r="E14" s="219">
        <f>'[2]TranchesAgeNouveaux'!D4/SUM('[2]TranchesAgeNouveaux'!$C4:$G4)*100</f>
        <v>18.86178861788618</v>
      </c>
      <c r="F14" s="219">
        <f>'[2]TranchesAgeNouveaux'!E4/SUM('[2]TranchesAgeNouveaux'!$C4:$G4)*100</f>
        <v>24.5609756097561</v>
      </c>
      <c r="G14" s="219">
        <f>'[2]TranchesAgeNouveaux'!F4/SUM('[2]TranchesAgeNouveaux'!$C4:$G4)*100</f>
        <v>39.13550135501355</v>
      </c>
      <c r="H14" s="219">
        <f>'[2]TranchesAgeNouveaux'!G4/SUM('[2]TranchesAgeNouveaux'!$C4:$G4)*100</f>
        <v>13.089430894308943</v>
      </c>
    </row>
    <row r="15" spans="2:8" ht="15" customHeight="1">
      <c r="B15" s="460"/>
      <c r="C15" s="10" t="s">
        <v>42</v>
      </c>
      <c r="D15" s="219">
        <f>'[2]TranchesAgeNouveaux'!C8/SUM('[2]TranchesAgeNouveaux'!$C8:$G8)*100</f>
        <v>10.885649242623238</v>
      </c>
      <c r="E15" s="219">
        <f>'[2]TranchesAgeNouveaux'!D8/SUM('[2]TranchesAgeNouveaux'!$C8:$G8)*100</f>
        <v>30.886087032659137</v>
      </c>
      <c r="F15" s="219">
        <f>'[2]TranchesAgeNouveaux'!E8/SUM('[2]TranchesAgeNouveaux'!$C8:$G8)*100</f>
        <v>32.02653007617547</v>
      </c>
      <c r="G15" s="219">
        <f>'[2]TranchesAgeNouveaux'!F8/SUM('[2]TranchesAgeNouveaux'!$C8:$G8)*100</f>
        <v>23.353909465020575</v>
      </c>
      <c r="H15" s="219">
        <f>'[2]TranchesAgeNouveaux'!G8/SUM('[2]TranchesAgeNouveaux'!$C8:$G8)*100</f>
        <v>2.8478241835215834</v>
      </c>
    </row>
    <row r="16" spans="2:8" ht="15" customHeight="1">
      <c r="B16" s="460"/>
      <c r="C16" s="10" t="s">
        <v>90</v>
      </c>
      <c r="D16" s="219">
        <f>'[2]TranchesAgeNouveaux'!C9/SUM('[2]TranchesAgeNouveaux'!$C9:$G9)*100</f>
        <v>13.362137942070731</v>
      </c>
      <c r="E16" s="219">
        <f>'[2]TranchesAgeNouveaux'!D9/SUM('[2]TranchesAgeNouveaux'!$C9:$G9)*100</f>
        <v>23.65178428548568</v>
      </c>
      <c r="F16" s="219">
        <f>'[2]TranchesAgeNouveaux'!E9/SUM('[2]TranchesAgeNouveaux'!$C9:$G9)*100</f>
        <v>27.076332213154103</v>
      </c>
      <c r="G16" s="219">
        <f>'[2]TranchesAgeNouveaux'!F9/SUM('[2]TranchesAgeNouveaux'!$C9:$G9)*100</f>
        <v>31.893102896463432</v>
      </c>
      <c r="H16" s="219">
        <f>'[2]TranchesAgeNouveaux'!G9/SUM('[2]TranchesAgeNouveaux'!$C9:$G9)*100</f>
        <v>4.016642662826053</v>
      </c>
    </row>
    <row r="17" spans="2:8" ht="15" customHeight="1">
      <c r="B17" s="460"/>
      <c r="C17" s="52" t="s">
        <v>28</v>
      </c>
      <c r="D17" s="219">
        <f>'[2]TranchesAgeNouveaux'!C5/SUM('[2]TranchesAgeNouveaux'!$C5:$G5)*100</f>
        <v>12.99027824337915</v>
      </c>
      <c r="E17" s="219">
        <f>'[2]TranchesAgeNouveaux'!D5/SUM('[2]TranchesAgeNouveaux'!$C5:$G5)*100</f>
        <v>28.771371102916525</v>
      </c>
      <c r="F17" s="219">
        <f>'[2]TranchesAgeNouveaux'!E5/SUM('[2]TranchesAgeNouveaux'!$C5:$G5)*100</f>
        <v>33.15454240697285</v>
      </c>
      <c r="G17" s="219">
        <f>'[2]TranchesAgeNouveaux'!F5/SUM('[2]TranchesAgeNouveaux'!$C5:$G5)*100</f>
        <v>20.15588333892055</v>
      </c>
      <c r="H17" s="219">
        <f>'[2]TranchesAgeNouveaux'!G5/SUM('[2]TranchesAgeNouveaux'!$C5:$G5)*100</f>
        <v>4.927924907810929</v>
      </c>
    </row>
    <row r="18" spans="2:8" ht="14.25" customHeight="1">
      <c r="B18" s="460"/>
      <c r="C18" s="10" t="s">
        <v>4</v>
      </c>
      <c r="D18" s="219">
        <f>'[2]TranchesAgeNouveaux'!C10/SUM('[2]TranchesAgeNouveaux'!$C10:$G10)*100</f>
        <v>26.88605983982987</v>
      </c>
      <c r="E18" s="219">
        <f>'[2]TranchesAgeNouveaux'!D10/SUM('[2]TranchesAgeNouveaux'!$C10:$G10)*100</f>
        <v>26.3393212235893</v>
      </c>
      <c r="F18" s="219">
        <f>'[2]TranchesAgeNouveaux'!E10/SUM('[2]TranchesAgeNouveaux'!$C10:$G10)*100</f>
        <v>22.420469625865007</v>
      </c>
      <c r="G18" s="219">
        <f>'[2]TranchesAgeNouveaux'!F10/SUM('[2]TranchesAgeNouveaux'!$C10:$G10)*100</f>
        <v>19.28488598448535</v>
      </c>
      <c r="H18" s="219">
        <f>'[2]TranchesAgeNouveaux'!G10/SUM('[2]TranchesAgeNouveaux'!$C10:$G10)*100</f>
        <v>5.069263326230476</v>
      </c>
    </row>
    <row r="19" spans="2:8" ht="15" customHeight="1">
      <c r="B19" s="460"/>
      <c r="C19" s="11" t="s">
        <v>68</v>
      </c>
      <c r="D19" s="219">
        <f>'[2]TranchesAgeNouveaux'!C13/SUM('[2]TranchesAgeNouveaux'!$C13:$G13)*100</f>
        <v>30.2033650329188</v>
      </c>
      <c r="E19" s="219">
        <f>'[2]TranchesAgeNouveaux'!D13/SUM('[2]TranchesAgeNouveaux'!$C13:$G13)*100</f>
        <v>28.383906364301392</v>
      </c>
      <c r="F19" s="219">
        <f>'[2]TranchesAgeNouveaux'!E13/SUM('[2]TranchesAgeNouveaux'!$C13:$G13)*100</f>
        <v>22.28207754206291</v>
      </c>
      <c r="G19" s="219">
        <f>'[2]TranchesAgeNouveaux'!F13/SUM('[2]TranchesAgeNouveaux'!$C13:$G13)*100</f>
        <v>15.42267739575713</v>
      </c>
      <c r="H19" s="219">
        <f>'[2]TranchesAgeNouveaux'!G13/SUM('[2]TranchesAgeNouveaux'!$C13:$G13)*100</f>
        <v>3.7079736649597663</v>
      </c>
    </row>
    <row r="20" spans="3:8" ht="11.25">
      <c r="C20" s="19"/>
      <c r="D20" s="53"/>
      <c r="E20" s="53"/>
      <c r="F20" s="53"/>
      <c r="G20" s="53"/>
      <c r="H20" s="53"/>
    </row>
    <row r="21" spans="3:8" ht="11.25">
      <c r="C21" s="19"/>
      <c r="D21" s="53"/>
      <c r="E21" s="53"/>
      <c r="F21" s="53"/>
      <c r="G21" s="53"/>
      <c r="H21" s="53"/>
    </row>
    <row r="22" spans="4:8" ht="11.25">
      <c r="D22" s="18"/>
      <c r="E22" s="18"/>
      <c r="F22" s="18"/>
      <c r="G22" s="18"/>
      <c r="H22" s="18"/>
    </row>
    <row r="26" ht="11.25">
      <c r="B26" s="28"/>
    </row>
    <row r="31" ht="11.25">
      <c r="B31" s="4"/>
    </row>
    <row r="32" ht="11.25">
      <c r="B32" s="4"/>
    </row>
    <row r="33" spans="3:8" ht="11.25">
      <c r="C33" s="19"/>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B1:O42"/>
  <sheetViews>
    <sheetView zoomScalePageLayoutView="0" workbookViewId="0" topLeftCell="A1">
      <selection activeCell="AA16" sqref="W16:AA16"/>
    </sheetView>
  </sheetViews>
  <sheetFormatPr defaultColWidth="11.421875" defaultRowHeight="12.75"/>
  <cols>
    <col min="1" max="1" width="3.7109375" style="2" customWidth="1"/>
    <col min="2" max="2" width="17.00390625" style="2" customWidth="1"/>
    <col min="3" max="15" width="7.8515625" style="2" customWidth="1"/>
    <col min="16" max="16384" width="11.421875" style="2" customWidth="1"/>
  </cols>
  <sheetData>
    <row r="1" spans="2:8" ht="33.75" customHeight="1">
      <c r="B1" s="1" t="s">
        <v>226</v>
      </c>
      <c r="H1" s="4"/>
    </row>
    <row r="2" spans="2:15" ht="15" customHeight="1">
      <c r="B2" s="1"/>
      <c r="C2" s="4"/>
      <c r="G2" s="24"/>
      <c r="H2" s="24"/>
      <c r="I2" s="86"/>
      <c r="O2" s="86" t="s">
        <v>66</v>
      </c>
    </row>
    <row r="3" spans="2:15" s="3" customFormat="1" ht="15" customHeight="1">
      <c r="B3" s="124" t="s">
        <v>60</v>
      </c>
      <c r="C3" s="124">
        <v>2006</v>
      </c>
      <c r="D3" s="124">
        <v>2007</v>
      </c>
      <c r="E3" s="124">
        <v>2008</v>
      </c>
      <c r="F3" s="124">
        <v>2009</v>
      </c>
      <c r="G3" s="124">
        <v>2010</v>
      </c>
      <c r="H3" s="124">
        <v>2011</v>
      </c>
      <c r="I3" s="124">
        <v>2012</v>
      </c>
      <c r="J3" s="124">
        <v>2013</v>
      </c>
      <c r="K3" s="124">
        <v>2014</v>
      </c>
      <c r="L3" s="124">
        <v>2015</v>
      </c>
      <c r="M3" s="124">
        <v>2016</v>
      </c>
      <c r="N3" s="124">
        <v>2017</v>
      </c>
      <c r="O3" s="124">
        <v>2018</v>
      </c>
    </row>
    <row r="4" spans="2:15" ht="15" customHeight="1">
      <c r="B4" s="11" t="s">
        <v>20</v>
      </c>
      <c r="C4" s="322">
        <v>14.201982959057899</v>
      </c>
      <c r="D4" s="322">
        <v>14.303824969009188</v>
      </c>
      <c r="E4" s="322">
        <v>12</v>
      </c>
      <c r="F4" s="322">
        <v>15.322499187347226</v>
      </c>
      <c r="G4" s="322">
        <v>18.81219837341242</v>
      </c>
      <c r="H4" s="322">
        <v>24.38299605952817</v>
      </c>
      <c r="I4" s="322">
        <v>23.088041242542783</v>
      </c>
      <c r="J4" s="322">
        <v>24.504848122788474</v>
      </c>
      <c r="K4" s="322">
        <v>26.095808196000842</v>
      </c>
      <c r="L4" s="322">
        <v>26.11379252788828</v>
      </c>
      <c r="M4" s="322">
        <v>25.963890862173905</v>
      </c>
      <c r="N4" s="322">
        <v>25.33440359608284</v>
      </c>
      <c r="O4" s="322">
        <v>25.889437117874447</v>
      </c>
    </row>
    <row r="5" spans="2:15" ht="15" customHeight="1">
      <c r="B5" s="11" t="s">
        <v>48</v>
      </c>
      <c r="C5" s="323">
        <v>22.722454010658673</v>
      </c>
      <c r="D5" s="323">
        <v>23.921072473769634</v>
      </c>
      <c r="E5" s="323">
        <v>25</v>
      </c>
      <c r="F5" s="323">
        <v>25.34099277703195</v>
      </c>
      <c r="G5" s="323">
        <v>24.52013599677576</v>
      </c>
      <c r="H5" s="323">
        <v>26.91486047443144</v>
      </c>
      <c r="I5" s="323">
        <v>26.315673980274035</v>
      </c>
      <c r="J5" s="323">
        <v>25.55290044881516</v>
      </c>
      <c r="K5" s="323">
        <v>23.8674520689769</v>
      </c>
      <c r="L5" s="323">
        <v>24.07919993323504</v>
      </c>
      <c r="M5" s="323">
        <v>23.411599751111776</v>
      </c>
      <c r="N5" s="323">
        <v>23.79210146090865</v>
      </c>
      <c r="O5" s="323">
        <v>27.282626881092366</v>
      </c>
    </row>
    <row r="6" spans="2:15" ht="15" customHeight="1">
      <c r="B6" s="11" t="s">
        <v>49</v>
      </c>
      <c r="C6" s="322">
        <v>27.544012850782153</v>
      </c>
      <c r="D6" s="322">
        <v>30.778156909353477</v>
      </c>
      <c r="E6" s="322">
        <v>28.999999999999996</v>
      </c>
      <c r="F6" s="322">
        <v>29.46816696754715</v>
      </c>
      <c r="G6" s="322">
        <v>29.063007016854918</v>
      </c>
      <c r="H6" s="322">
        <v>24.969445081599606</v>
      </c>
      <c r="I6" s="322">
        <v>24.601574683351718</v>
      </c>
      <c r="J6" s="322">
        <v>24.68314875235513</v>
      </c>
      <c r="K6" s="322">
        <v>24.301206765669974</v>
      </c>
      <c r="L6" s="322">
        <v>23.435022394080175</v>
      </c>
      <c r="M6" s="322">
        <v>23.741868323208827</v>
      </c>
      <c r="N6" s="322">
        <v>23.462674586611012</v>
      </c>
      <c r="O6" s="322">
        <v>23.34168885184022</v>
      </c>
    </row>
    <row r="7" spans="2:15" ht="15" customHeight="1">
      <c r="B7" s="11" t="s">
        <v>50</v>
      </c>
      <c r="C7" s="322">
        <v>30.81312820955112</v>
      </c>
      <c r="D7" s="322">
        <v>27.577604825620778</v>
      </c>
      <c r="E7" s="322">
        <v>28.999999999999996</v>
      </c>
      <c r="F7" s="322">
        <v>25.65319836257353</v>
      </c>
      <c r="G7" s="322">
        <v>23.133299575268428</v>
      </c>
      <c r="H7" s="322">
        <v>18.401250269602222</v>
      </c>
      <c r="I7" s="322">
        <v>19.576602698203246</v>
      </c>
      <c r="J7" s="322">
        <v>20.6528498996676</v>
      </c>
      <c r="K7" s="322">
        <v>20.964578726390595</v>
      </c>
      <c r="L7" s="322">
        <v>19.622638885025175</v>
      </c>
      <c r="M7" s="322">
        <v>21.010201365494392</v>
      </c>
      <c r="N7" s="322">
        <v>22.10691924867555</v>
      </c>
      <c r="O7" s="322">
        <v>18.82648014488117</v>
      </c>
    </row>
    <row r="8" spans="2:15" ht="15" customHeight="1">
      <c r="B8" s="11" t="s">
        <v>16</v>
      </c>
      <c r="C8" s="322">
        <v>4.718421969950157</v>
      </c>
      <c r="D8" s="322">
        <v>3.4193408222469293</v>
      </c>
      <c r="E8" s="322">
        <v>5</v>
      </c>
      <c r="F8" s="322">
        <v>4.215142705500144</v>
      </c>
      <c r="G8" s="322">
        <v>4.471359037688468</v>
      </c>
      <c r="H8" s="322">
        <v>5.331448114838564</v>
      </c>
      <c r="I8" s="322">
        <v>6.41810739562822</v>
      </c>
      <c r="J8" s="322">
        <v>4.606252776373635</v>
      </c>
      <c r="K8" s="322">
        <v>4.770954242961692</v>
      </c>
      <c r="L8" s="322">
        <v>6.74934625977133</v>
      </c>
      <c r="M8" s="322">
        <v>5.872439698011099</v>
      </c>
      <c r="N8" s="322">
        <v>5.303901107721946</v>
      </c>
      <c r="O8" s="322">
        <v>4.659767004311799</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51"/>
      <c r="J28" s="22"/>
    </row>
    <row r="29" spans="8:10" ht="11.25">
      <c r="H29" s="4"/>
      <c r="I29" s="51"/>
      <c r="J29" s="22"/>
    </row>
    <row r="30" spans="8:10" ht="11.25">
      <c r="H30" s="4"/>
      <c r="I30" s="51"/>
      <c r="J30" s="22"/>
    </row>
    <row r="31" spans="9:10" ht="11.25">
      <c r="I31" s="51"/>
      <c r="J31" s="22"/>
    </row>
    <row r="32" spans="9:10" ht="11.25">
      <c r="I32" s="51"/>
      <c r="J32" s="22"/>
    </row>
    <row r="35" ht="11.25">
      <c r="C35" s="14"/>
    </row>
    <row r="42" spans="4:8" ht="11.25">
      <c r="D42" s="22"/>
      <c r="E42" s="22"/>
      <c r="F42" s="22"/>
      <c r="G42" s="22"/>
      <c r="H42" s="22"/>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B1:K65"/>
  <sheetViews>
    <sheetView zoomScalePageLayoutView="0" workbookViewId="0" topLeftCell="A1">
      <selection activeCell="A1" sqref="A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227</v>
      </c>
    </row>
    <row r="2" ht="10.5" customHeight="1">
      <c r="B2" s="1"/>
    </row>
    <row r="3" ht="11.25">
      <c r="D3" s="50" t="s">
        <v>66</v>
      </c>
    </row>
    <row r="4" spans="2:4" s="1" customFormat="1" ht="15" customHeight="1">
      <c r="B4" s="198"/>
      <c r="C4" s="124" t="s">
        <v>21</v>
      </c>
      <c r="D4" s="124" t="s">
        <v>22</v>
      </c>
    </row>
    <row r="5" spans="2:4" ht="15" customHeight="1">
      <c r="B5" s="11" t="s">
        <v>15</v>
      </c>
      <c r="C5" s="116">
        <f>'[2]SexeAdhCot'!C4/SUM('[2]SexeAdhCot'!$C4:$D4)*100</f>
        <v>52.551782239212116</v>
      </c>
      <c r="D5" s="116">
        <f>'[2]SexeAdhCot'!D4/SUM('[2]SexeAdhCot'!$C4:$D4)*100</f>
        <v>47.448217760787884</v>
      </c>
    </row>
    <row r="6" spans="2:4" ht="15" customHeight="1">
      <c r="B6" s="11" t="s">
        <v>28</v>
      </c>
      <c r="C6" s="116">
        <f>'[2]SexeAdhCot'!C5/SUM('[2]SexeAdhCot'!$C5:$D5)*100</f>
        <v>34.86554571086655</v>
      </c>
      <c r="D6" s="116">
        <f>'[2]SexeAdhCot'!D5/SUM('[2]SexeAdhCot'!$C5:$D5)*100</f>
        <v>65.13445428913346</v>
      </c>
    </row>
    <row r="7" spans="2:4" ht="15" customHeight="1">
      <c r="B7" s="11" t="s">
        <v>29</v>
      </c>
      <c r="C7" s="116">
        <f>'[2]SexeAdhCot'!C6/SUM('[2]SexeAdhCot'!$C6:$D6)*100</f>
        <v>90.31655404815533</v>
      </c>
      <c r="D7" s="116">
        <f>'[2]SexeAdhCot'!D6/SUM('[2]SexeAdhCot'!$C6:$D6)*100</f>
        <v>9.683445951844675</v>
      </c>
    </row>
    <row r="8" spans="2:4" ht="15" customHeight="1">
      <c r="B8" s="11" t="s">
        <v>30</v>
      </c>
      <c r="C8" s="116">
        <f>'[2]SexeAdhCot'!C8/SUM('[2]SexeAdhCot'!$C8:$D8)*100</f>
        <v>66.87074883192102</v>
      </c>
      <c r="D8" s="116">
        <f>'[2]SexeAdhCot'!D8/SUM('[2]SexeAdhCot'!$C8:$D8)*100</f>
        <v>33.12925116807898</v>
      </c>
    </row>
    <row r="9" spans="2:4" ht="15" customHeight="1">
      <c r="B9" s="11" t="s">
        <v>79</v>
      </c>
      <c r="C9" s="116">
        <f>'[2]SexeAdhCot'!C9/SUM('[2]SexeAdhCot'!$C9:$D9)*100</f>
        <v>76.19166458697279</v>
      </c>
      <c r="D9" s="116">
        <f>'[2]SexeAdhCot'!D9/SUM('[2]SexeAdhCot'!$C9:$D9)*100</f>
        <v>23.8083354130272</v>
      </c>
    </row>
    <row r="10" spans="2:4" ht="15" customHeight="1">
      <c r="B10" s="11" t="s">
        <v>4</v>
      </c>
      <c r="C10" s="116">
        <f>'[2]SexeAdhCot'!C10/SUM('[2]SexeAdhCot'!$C10:$D10)*100</f>
        <v>61.23858776171973</v>
      </c>
      <c r="D10" s="116">
        <f>'[2]SexeAdhCot'!D10/SUM('[2]SexeAdhCot'!$C10:$D10)*100</f>
        <v>38.76141223828027</v>
      </c>
    </row>
    <row r="11" spans="2:4" ht="15" customHeight="1">
      <c r="B11" s="11" t="s">
        <v>68</v>
      </c>
      <c r="C11" s="116">
        <f>'[2]SexeAdhCot'!C13/SUM('[2]SexeAdhCot'!$C13:$D13)*100</f>
        <v>55.34856887940295</v>
      </c>
      <c r="D11" s="116">
        <f>'[2]SexeAdhCot'!D13/SUM('[2]SexeAdhCot'!$C13:$D13)*100</f>
        <v>44.65143112059705</v>
      </c>
    </row>
    <row r="12" spans="2:4" ht="15" customHeight="1">
      <c r="B12" s="11" t="s">
        <v>91</v>
      </c>
      <c r="C12" s="116">
        <f>'[2]SexeAdhCot'!C12/SUM('[2]SexeAdhCot'!$C12:$D12)*100</f>
        <v>61.674695909078814</v>
      </c>
      <c r="D12" s="116">
        <f>'[2]SexeAdhCot'!D12/SUM('[2]SexeAdhCot'!$C12:$D12)*100</f>
        <v>38.32530409092119</v>
      </c>
    </row>
    <row r="13" spans="2:4" ht="15" customHeight="1">
      <c r="B13" s="224" t="s">
        <v>147</v>
      </c>
      <c r="C13" s="116">
        <f>SUM('[2]SexeAdhCot'!$C$4:$C$6,'[2]SexeAdhCot'!$C$8:$C$10,'[2]SexeAdhCot'!$C$12:$C$13)/SUM('[2]SexeAdhCot'!$C$4:$D$6,'[2]SexeAdhCot'!$C$8:$D$10,'[2]SexeAdhCot'!$C$12:$D$13)*100</f>
        <v>57.00224668918502</v>
      </c>
      <c r="D13" s="116">
        <f>SUM('[2]SexeAdhCot'!$D$4:$D$6,'[2]SexeAdhCot'!$D$8:$D$10,'[2]SexeAdhCot'!$D$12:$D$13)/SUM('[2]SexeAdhCot'!$C$4:$D$6,'[2]SexeAdhCot'!$C$8:$D$10,'[2]SexeAdhCot'!$C$12:$D$13)*100</f>
        <v>42.99775331081498</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26"/>
      <c r="C42" s="4"/>
      <c r="D42" s="4"/>
      <c r="E42" s="4"/>
      <c r="F42" s="4"/>
    </row>
    <row r="43" spans="2:6" ht="11.25">
      <c r="B43" s="4"/>
      <c r="C43" s="46"/>
      <c r="D43" s="46"/>
      <c r="E43" s="46"/>
      <c r="F43" s="4"/>
    </row>
    <row r="44" spans="2:11" ht="11.25">
      <c r="B44" s="4"/>
      <c r="C44" s="46"/>
      <c r="D44" s="46"/>
      <c r="E44" s="46"/>
      <c r="F44" s="4"/>
      <c r="I44" s="3"/>
      <c r="J44" s="14"/>
      <c r="K44" s="14"/>
    </row>
    <row r="45" spans="2:11" ht="11.25">
      <c r="B45" s="4"/>
      <c r="C45" s="46"/>
      <c r="D45" s="46"/>
      <c r="E45" s="46"/>
      <c r="F45" s="4"/>
      <c r="I45" s="3"/>
      <c r="J45" s="14"/>
      <c r="K45" s="14"/>
    </row>
    <row r="46" spans="2:11" ht="11.25">
      <c r="B46" s="4"/>
      <c r="C46" s="46"/>
      <c r="D46" s="46"/>
      <c r="E46" s="46"/>
      <c r="F46" s="4"/>
      <c r="I46" s="3"/>
      <c r="J46" s="14"/>
      <c r="K46" s="14"/>
    </row>
    <row r="47" spans="2:11" ht="11.25">
      <c r="B47" s="4"/>
      <c r="C47" s="46"/>
      <c r="D47" s="46"/>
      <c r="E47" s="46"/>
      <c r="F47" s="4"/>
      <c r="I47" s="3"/>
      <c r="J47" s="14"/>
      <c r="K47" s="14"/>
    </row>
    <row r="48" spans="2:11" ht="11.25">
      <c r="B48" s="4"/>
      <c r="C48" s="46"/>
      <c r="D48" s="46"/>
      <c r="E48" s="46"/>
      <c r="F48" s="4"/>
      <c r="I48" s="3"/>
      <c r="J48" s="14"/>
      <c r="K48" s="14"/>
    </row>
    <row r="49" spans="2:11" ht="11.25">
      <c r="B49" s="4"/>
      <c r="C49" s="46"/>
      <c r="D49" s="46"/>
      <c r="E49" s="46"/>
      <c r="F49" s="4"/>
      <c r="I49" s="3"/>
      <c r="J49" s="14"/>
      <c r="K49" s="14"/>
    </row>
    <row r="50" spans="2:11" ht="11.25">
      <c r="B50" s="4"/>
      <c r="C50" s="46"/>
      <c r="D50" s="46"/>
      <c r="E50" s="46"/>
      <c r="F50" s="4"/>
      <c r="I50" s="3"/>
      <c r="J50" s="14"/>
      <c r="K50" s="14"/>
    </row>
    <row r="51" spans="2:11" ht="11.25">
      <c r="B51" s="4"/>
      <c r="C51" s="46"/>
      <c r="D51" s="46"/>
      <c r="E51" s="46"/>
      <c r="F51" s="4"/>
      <c r="I51" s="3"/>
      <c r="J51" s="14"/>
      <c r="K51" s="14"/>
    </row>
    <row r="52" spans="2:11" ht="11.25">
      <c r="B52" s="4"/>
      <c r="C52" s="4"/>
      <c r="D52" s="4"/>
      <c r="E52" s="4"/>
      <c r="F52" s="4"/>
      <c r="I52" s="3"/>
      <c r="J52" s="14"/>
      <c r="K52" s="14"/>
    </row>
    <row r="55" spans="9:11" ht="11.25">
      <c r="I55" s="3"/>
      <c r="J55" s="14"/>
      <c r="K55" s="14"/>
    </row>
    <row r="56" spans="4:6" ht="11.25">
      <c r="D56" s="49"/>
      <c r="E56" s="14"/>
      <c r="F56" s="14"/>
    </row>
    <row r="57" spans="4:6" ht="11.25">
      <c r="D57" s="49"/>
      <c r="E57" s="14"/>
      <c r="F57" s="14"/>
    </row>
    <row r="58" spans="4:6" ht="11.25">
      <c r="D58" s="49"/>
      <c r="E58" s="14"/>
      <c r="F58" s="14"/>
    </row>
    <row r="59" spans="4:6" ht="11.25">
      <c r="D59" s="49"/>
      <c r="E59" s="14"/>
      <c r="F59" s="14"/>
    </row>
    <row r="60" spans="4:6" ht="11.25">
      <c r="D60" s="49"/>
      <c r="E60" s="14"/>
      <c r="F60" s="14"/>
    </row>
    <row r="61" spans="4:11" ht="11.25">
      <c r="D61" s="49"/>
      <c r="E61" s="14"/>
      <c r="F61" s="14"/>
      <c r="I61" s="3"/>
      <c r="J61" s="14"/>
      <c r="K61" s="14"/>
    </row>
    <row r="62" spans="4:6" ht="11.25">
      <c r="D62" s="49"/>
      <c r="E62" s="14"/>
      <c r="F62" s="14"/>
    </row>
    <row r="63" spans="4:11" ht="11.25">
      <c r="D63" s="49"/>
      <c r="E63" s="14"/>
      <c r="F63" s="14"/>
      <c r="I63" s="3"/>
      <c r="J63" s="14"/>
      <c r="K63" s="14"/>
    </row>
    <row r="64" spans="4:6" ht="11.25">
      <c r="D64" s="49"/>
      <c r="E64" s="14"/>
      <c r="F64" s="14"/>
    </row>
    <row r="65" spans="4:6" ht="11.25">
      <c r="D65" s="49"/>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B1:AV31"/>
  <sheetViews>
    <sheetView zoomScalePageLayoutView="0" workbookViewId="0" topLeftCell="A4">
      <selection activeCell="B20" sqref="B20"/>
    </sheetView>
  </sheetViews>
  <sheetFormatPr defaultColWidth="11.421875" defaultRowHeight="12.75"/>
  <cols>
    <col min="1" max="1" width="3.7109375" style="2" customWidth="1"/>
    <col min="2" max="2" width="41.421875" style="2" customWidth="1"/>
    <col min="3" max="12" width="6.421875" style="2" customWidth="1"/>
    <col min="13" max="13" width="8.28125" style="2" customWidth="1"/>
    <col min="14" max="20" width="7.00390625" style="2" customWidth="1"/>
    <col min="21" max="21" width="8.421875" style="2" customWidth="1"/>
    <col min="22" max="22" width="7.7109375" style="2" customWidth="1"/>
    <col min="23" max="23" width="8.140625" style="2" customWidth="1"/>
    <col min="24" max="25" width="9.00390625" style="2" customWidth="1"/>
    <col min="26" max="26" width="12.7109375" style="2" customWidth="1"/>
    <col min="27" max="36" width="6.57421875" style="2" customWidth="1"/>
    <col min="37" max="37" width="12.7109375" style="2" customWidth="1"/>
    <col min="38" max="47" width="6.7109375" style="2" customWidth="1"/>
    <col min="48" max="16384" width="11.421875" style="2" customWidth="1"/>
  </cols>
  <sheetData>
    <row r="1" ht="11.25">
      <c r="B1" s="1" t="s">
        <v>228</v>
      </c>
    </row>
    <row r="3" spans="2:48" ht="41.25" customHeight="1">
      <c r="B3" s="416"/>
      <c r="C3" s="465" t="s">
        <v>81</v>
      </c>
      <c r="D3" s="466"/>
      <c r="E3" s="466"/>
      <c r="F3" s="466"/>
      <c r="G3" s="466"/>
      <c r="H3" s="466"/>
      <c r="I3" s="466"/>
      <c r="J3" s="466"/>
      <c r="K3" s="466"/>
      <c r="L3" s="466"/>
      <c r="M3" s="467"/>
      <c r="N3" s="465" t="s">
        <v>82</v>
      </c>
      <c r="O3" s="466"/>
      <c r="P3" s="466"/>
      <c r="Q3" s="466"/>
      <c r="R3" s="466"/>
      <c r="S3" s="466"/>
      <c r="T3" s="466"/>
      <c r="U3" s="466"/>
      <c r="V3" s="466"/>
      <c r="W3" s="466"/>
      <c r="X3" s="466"/>
      <c r="Y3" s="463"/>
      <c r="Z3" s="461" t="s">
        <v>100</v>
      </c>
      <c r="AA3" s="472" t="s">
        <v>83</v>
      </c>
      <c r="AB3" s="466"/>
      <c r="AC3" s="466"/>
      <c r="AD3" s="466"/>
      <c r="AE3" s="466"/>
      <c r="AF3" s="466"/>
      <c r="AG3" s="466"/>
      <c r="AH3" s="466"/>
      <c r="AI3" s="466"/>
      <c r="AJ3" s="463"/>
      <c r="AK3" s="463" t="s">
        <v>129</v>
      </c>
      <c r="AL3" s="472" t="s">
        <v>128</v>
      </c>
      <c r="AM3" s="466"/>
      <c r="AN3" s="466"/>
      <c r="AO3" s="466"/>
      <c r="AP3" s="466"/>
      <c r="AQ3" s="466"/>
      <c r="AR3" s="466"/>
      <c r="AS3" s="466"/>
      <c r="AT3" s="466"/>
      <c r="AU3" s="463"/>
      <c r="AV3" s="463" t="s">
        <v>130</v>
      </c>
    </row>
    <row r="4" spans="2:48" ht="86.25" customHeight="1">
      <c r="B4" s="416"/>
      <c r="C4" s="468"/>
      <c r="D4" s="469"/>
      <c r="E4" s="469"/>
      <c r="F4" s="469"/>
      <c r="G4" s="469"/>
      <c r="H4" s="469"/>
      <c r="I4" s="469"/>
      <c r="J4" s="469"/>
      <c r="K4" s="469"/>
      <c r="L4" s="469"/>
      <c r="M4" s="470"/>
      <c r="N4" s="468"/>
      <c r="O4" s="469"/>
      <c r="P4" s="469"/>
      <c r="Q4" s="469"/>
      <c r="R4" s="469"/>
      <c r="S4" s="469"/>
      <c r="T4" s="469"/>
      <c r="U4" s="469"/>
      <c r="V4" s="469"/>
      <c r="W4" s="469"/>
      <c r="X4" s="469"/>
      <c r="Y4" s="471"/>
      <c r="Z4" s="462"/>
      <c r="AA4" s="473"/>
      <c r="AB4" s="469"/>
      <c r="AC4" s="469"/>
      <c r="AD4" s="469"/>
      <c r="AE4" s="469"/>
      <c r="AF4" s="469"/>
      <c r="AG4" s="469"/>
      <c r="AH4" s="469"/>
      <c r="AI4" s="469"/>
      <c r="AJ4" s="471"/>
      <c r="AK4" s="464"/>
      <c r="AL4" s="473"/>
      <c r="AM4" s="469"/>
      <c r="AN4" s="469"/>
      <c r="AO4" s="469"/>
      <c r="AP4" s="469"/>
      <c r="AQ4" s="469"/>
      <c r="AR4" s="469"/>
      <c r="AS4" s="469"/>
      <c r="AT4" s="469"/>
      <c r="AU4" s="471"/>
      <c r="AV4" s="464"/>
    </row>
    <row r="5" spans="2:48" ht="56.25" customHeight="1">
      <c r="B5" s="92"/>
      <c r="C5" s="104">
        <v>2009</v>
      </c>
      <c r="D5" s="104">
        <v>2010</v>
      </c>
      <c r="E5" s="104">
        <v>2011</v>
      </c>
      <c r="F5" s="104">
        <v>2012</v>
      </c>
      <c r="G5" s="104">
        <v>2013</v>
      </c>
      <c r="H5" s="104">
        <v>2014</v>
      </c>
      <c r="I5" s="104">
        <v>2015</v>
      </c>
      <c r="J5" s="104">
        <v>2016</v>
      </c>
      <c r="K5" s="104">
        <v>2017</v>
      </c>
      <c r="L5" s="104">
        <v>2018</v>
      </c>
      <c r="M5" s="104" t="s">
        <v>217</v>
      </c>
      <c r="N5" s="241">
        <v>2009</v>
      </c>
      <c r="O5" s="241">
        <v>2010</v>
      </c>
      <c r="P5" s="241">
        <v>2011</v>
      </c>
      <c r="Q5" s="241">
        <v>2012</v>
      </c>
      <c r="R5" s="104">
        <v>2013</v>
      </c>
      <c r="S5" s="104">
        <v>2014</v>
      </c>
      <c r="T5" s="104">
        <v>2015</v>
      </c>
      <c r="U5" s="104">
        <v>2016</v>
      </c>
      <c r="V5" s="104">
        <v>2017</v>
      </c>
      <c r="W5" s="388">
        <v>2018</v>
      </c>
      <c r="X5" s="180" t="s">
        <v>182</v>
      </c>
      <c r="Y5" s="334" t="s">
        <v>218</v>
      </c>
      <c r="Z5" s="106">
        <v>2018</v>
      </c>
      <c r="AA5" s="180">
        <v>2009</v>
      </c>
      <c r="AB5" s="104">
        <v>2010</v>
      </c>
      <c r="AC5" s="104">
        <v>2011</v>
      </c>
      <c r="AD5" s="104">
        <v>2012</v>
      </c>
      <c r="AE5" s="104">
        <v>2013</v>
      </c>
      <c r="AF5" s="104">
        <v>2014</v>
      </c>
      <c r="AG5" s="104">
        <v>2015</v>
      </c>
      <c r="AH5" s="104">
        <v>2016</v>
      </c>
      <c r="AI5" s="104">
        <v>2017</v>
      </c>
      <c r="AJ5" s="176">
        <v>2018</v>
      </c>
      <c r="AK5" s="105">
        <v>2018</v>
      </c>
      <c r="AL5" s="180">
        <v>2009</v>
      </c>
      <c r="AM5" s="104">
        <v>2010</v>
      </c>
      <c r="AN5" s="104">
        <v>2011</v>
      </c>
      <c r="AO5" s="104">
        <v>2012</v>
      </c>
      <c r="AP5" s="104">
        <v>2013</v>
      </c>
      <c r="AQ5" s="104">
        <v>2014</v>
      </c>
      <c r="AR5" s="104">
        <v>2015</v>
      </c>
      <c r="AS5" s="104">
        <v>2016</v>
      </c>
      <c r="AT5" s="104">
        <v>2017</v>
      </c>
      <c r="AU5" s="176">
        <v>2018</v>
      </c>
      <c r="AV5" s="105">
        <v>2018</v>
      </c>
    </row>
    <row r="6" spans="2:48" ht="21.75" customHeight="1">
      <c r="B6" s="376" t="s">
        <v>197</v>
      </c>
      <c r="C6" s="169">
        <v>805.47</v>
      </c>
      <c r="D6" s="169">
        <v>842.3188428876105</v>
      </c>
      <c r="E6" s="169">
        <v>860.2373881493613</v>
      </c>
      <c r="F6" s="169">
        <v>877.3385329794274</v>
      </c>
      <c r="G6" s="169">
        <v>890.9840443650445</v>
      </c>
      <c r="H6" s="108">
        <v>915.494676932368</v>
      </c>
      <c r="I6" s="108">
        <v>925.5451437001155</v>
      </c>
      <c r="J6" s="108">
        <v>943.779050329256</v>
      </c>
      <c r="K6" s="108">
        <v>957.5184184276544</v>
      </c>
      <c r="L6" s="108">
        <f>SUM(L7:L10)</f>
        <v>968.3462016126274</v>
      </c>
      <c r="M6" s="365">
        <f>(L6/K6-1)*100</f>
        <v>1.1308172225818147</v>
      </c>
      <c r="N6" s="169">
        <v>1519.8337755596112</v>
      </c>
      <c r="O6" s="169">
        <v>1581.1575492919358</v>
      </c>
      <c r="P6" s="169">
        <v>1581.9016439714271</v>
      </c>
      <c r="Q6" s="169">
        <v>1614.0005453320027</v>
      </c>
      <c r="R6" s="169">
        <v>1617.2496922570988</v>
      </c>
      <c r="S6" s="108">
        <v>1596.7522667598244</v>
      </c>
      <c r="T6" s="108">
        <v>1563.427098546939</v>
      </c>
      <c r="U6" s="108">
        <v>1580.9618156952913</v>
      </c>
      <c r="V6" s="108">
        <v>1597.6719352877758</v>
      </c>
      <c r="W6" s="108">
        <f>SUM('[1]rentes_vfu_sk'!$C$4:$C$7)/SUM('[1]benef_rentes_vfu_sk'!$C$4:$C$7)</f>
        <v>1597.8185059497794</v>
      </c>
      <c r="X6" s="364">
        <f>((V6/U6)/(1+Inflation!F$12)-1)*100</f>
        <v>0.024424210672502333</v>
      </c>
      <c r="Y6" s="348">
        <f>((W6/V6)/(1+Inflation!G$12)-1)*100</f>
        <v>-1.808175090904629</v>
      </c>
      <c r="Z6" s="372">
        <f>SUM(Z7:Z10)</f>
        <v>25.691324638099495</v>
      </c>
      <c r="AA6" s="181">
        <v>14.269</v>
      </c>
      <c r="AB6" s="172">
        <v>22.31280516110099</v>
      </c>
      <c r="AC6" s="172">
        <v>22.20007233082909</v>
      </c>
      <c r="AD6" s="172">
        <v>27.69199782698818</v>
      </c>
      <c r="AE6" s="172">
        <v>25.017635522121275</v>
      </c>
      <c r="AF6" s="107">
        <v>35.17707820611617</v>
      </c>
      <c r="AG6" s="107">
        <v>32.799244879266986</v>
      </c>
      <c r="AH6" s="107">
        <v>41.218324150277965</v>
      </c>
      <c r="AI6" s="107">
        <v>58.26112728850136</v>
      </c>
      <c r="AJ6" s="107">
        <f>SUM(AJ7:AJ10)</f>
        <v>69.0585437025585</v>
      </c>
      <c r="AK6" s="181">
        <f>SUM('[1]rentes_vfu_sk'!$D$4:$D$7)/SUM('[1]benef_rentes_vfu_sk'!$D$4:$D$7)</f>
        <v>5774.19240971254</v>
      </c>
      <c r="AL6" s="193">
        <v>0.012</v>
      </c>
      <c r="AM6" s="191">
        <v>0.1804625900182435</v>
      </c>
      <c r="AN6" s="191">
        <v>3.0753770345255584</v>
      </c>
      <c r="AO6" s="191">
        <v>1.518090335590081</v>
      </c>
      <c r="AP6" s="191">
        <v>5.491846248820132</v>
      </c>
      <c r="AQ6" s="192">
        <v>0.9694546151460048</v>
      </c>
      <c r="AR6" s="192">
        <v>6.109071795801533</v>
      </c>
      <c r="AS6" s="192">
        <v>7.398941418788597</v>
      </c>
      <c r="AT6" s="192">
        <v>8.831048106154038</v>
      </c>
      <c r="AU6" s="109">
        <f>SUM(AU7:AU10)</f>
        <v>6.38441955097781</v>
      </c>
      <c r="AV6" s="109">
        <f>AV7</f>
        <v>7262.28260123542</v>
      </c>
    </row>
    <row r="7" spans="2:48" ht="15" customHeight="1">
      <c r="B7" s="91" t="s">
        <v>15</v>
      </c>
      <c r="C7" s="174">
        <v>1.6580000000000001</v>
      </c>
      <c r="D7" s="170">
        <v>3.839842887610404</v>
      </c>
      <c r="E7" s="170">
        <v>5.721388149361396</v>
      </c>
      <c r="F7" s="170">
        <v>9.12753297942746</v>
      </c>
      <c r="G7" s="170">
        <v>12.017044365044375</v>
      </c>
      <c r="H7" s="39">
        <v>17.081676932367913</v>
      </c>
      <c r="I7" s="39">
        <v>20.779143700115497</v>
      </c>
      <c r="J7" s="39">
        <v>30.975050329256057</v>
      </c>
      <c r="K7" s="39">
        <v>47.09841842765441</v>
      </c>
      <c r="L7" s="38">
        <f>'[1]benef_rentes_vfu_sk'!$C4/1000</f>
        <v>50.7982016126273</v>
      </c>
      <c r="M7" s="366">
        <f aca="true" t="shared" si="0" ref="M7:M21">(L7/K7-1)*100</f>
        <v>7.855429775536837</v>
      </c>
      <c r="N7" s="170">
        <v>2018.6996381182148</v>
      </c>
      <c r="O7" s="170">
        <v>2078.3659082431927</v>
      </c>
      <c r="P7" s="170">
        <v>1859.803538743136</v>
      </c>
      <c r="Q7" s="170">
        <v>1345.1305591677506</v>
      </c>
      <c r="R7" s="170">
        <v>1209.5549874500325</v>
      </c>
      <c r="S7" s="38">
        <v>1288.9863923000332</v>
      </c>
      <c r="T7" s="38">
        <v>1374.342232510288</v>
      </c>
      <c r="U7" s="38">
        <v>1243.469513918327</v>
      </c>
      <c r="V7" s="38">
        <v>1105.0484188084804</v>
      </c>
      <c r="W7" s="390">
        <f>'[1]benef_rentes_vfu_sk'!$F4</f>
        <v>1293.60973453236</v>
      </c>
      <c r="X7" s="345">
        <f>((V7/U7)/(1+Inflation!F$12)-1)*100</f>
        <v>-12.039842230356768</v>
      </c>
      <c r="Y7" s="346">
        <f>((W7/V7)/(1+Inflation!G$12)-1)*100</f>
        <v>14.93636518811643</v>
      </c>
      <c r="Z7" s="373">
        <f>(W7*L7)/($W$21*$L$21)*100</f>
        <v>1.091138825056294</v>
      </c>
      <c r="AA7" s="178">
        <v>14.269</v>
      </c>
      <c r="AB7" s="174">
        <v>21.881805161100992</v>
      </c>
      <c r="AC7" s="174">
        <v>21.61607233082909</v>
      </c>
      <c r="AD7" s="174">
        <v>27.200997826988182</v>
      </c>
      <c r="AE7" s="174">
        <v>24.382635522121276</v>
      </c>
      <c r="AF7" s="39">
        <v>28.88407820611617</v>
      </c>
      <c r="AG7" s="39">
        <v>31.006244879266994</v>
      </c>
      <c r="AH7" s="39">
        <v>39.700324150277964</v>
      </c>
      <c r="AI7" s="39">
        <v>56.90412728850136</v>
      </c>
      <c r="AJ7" s="39">
        <f>'[1]benef_rentes_vfu_sk'!$D4/1000</f>
        <v>67.6805437025585</v>
      </c>
      <c r="AK7" s="178">
        <f>'[1]benef_rentes_vfu_sk'!$G4</f>
        <v>5833.27692531805</v>
      </c>
      <c r="AL7" s="194">
        <v>0.012</v>
      </c>
      <c r="AM7" s="186">
        <v>0.180462590018243</v>
      </c>
      <c r="AN7" s="186">
        <v>3.0753770345255584</v>
      </c>
      <c r="AO7" s="186">
        <v>1.518090335590081</v>
      </c>
      <c r="AP7" s="186">
        <v>5.491846248820132</v>
      </c>
      <c r="AQ7" s="189">
        <v>0.9694546151460048</v>
      </c>
      <c r="AR7" s="189">
        <v>2.704071795801533</v>
      </c>
      <c r="AS7" s="189">
        <v>3.902941418788598</v>
      </c>
      <c r="AT7" s="189">
        <v>5.696048106154037</v>
      </c>
      <c r="AU7" s="190">
        <f>'[1]benef_rentes_vfu_sk'!$E4/1000</f>
        <v>6.38441955097781</v>
      </c>
      <c r="AV7" s="40">
        <f>'[1]benef_rentes_vfu_sk'!$H$4</f>
        <v>7262.28260123542</v>
      </c>
    </row>
    <row r="8" spans="2:48" ht="30" customHeight="1">
      <c r="B8" s="90" t="s">
        <v>61</v>
      </c>
      <c r="C8" s="174">
        <v>424.176</v>
      </c>
      <c r="D8" s="170">
        <v>448.315</v>
      </c>
      <c r="E8" s="170">
        <v>470.276</v>
      </c>
      <c r="F8" s="170">
        <v>491.3</v>
      </c>
      <c r="G8" s="170">
        <v>509.392</v>
      </c>
      <c r="H8" s="37">
        <v>535.765</v>
      </c>
      <c r="I8" s="37">
        <v>550.124</v>
      </c>
      <c r="J8" s="37">
        <v>567.552</v>
      </c>
      <c r="K8" s="37">
        <v>577.606</v>
      </c>
      <c r="L8" s="38">
        <f>'[1]benef_rentes_vfu_sk'!$C5/1000</f>
        <v>595.403</v>
      </c>
      <c r="M8" s="366">
        <f t="shared" si="0"/>
        <v>3.0811660543692554</v>
      </c>
      <c r="N8" s="170">
        <v>1499.3948974010789</v>
      </c>
      <c r="O8" s="170">
        <v>1534.8473863243478</v>
      </c>
      <c r="P8" s="170">
        <v>1569.881416444811</v>
      </c>
      <c r="Q8" s="170">
        <v>1606.5116324038265</v>
      </c>
      <c r="R8" s="170">
        <v>1616.5532026415806</v>
      </c>
      <c r="S8" s="38">
        <v>1570.549630901608</v>
      </c>
      <c r="T8" s="38">
        <v>1521.4585857006784</v>
      </c>
      <c r="U8" s="38">
        <v>1530.9743160098105</v>
      </c>
      <c r="V8" s="38">
        <v>1575.0760639605544</v>
      </c>
      <c r="W8" s="390">
        <f>'[1]benef_rentes_vfu_sk'!$F5</f>
        <v>1612.62519839504</v>
      </c>
      <c r="X8" s="345">
        <f>((V8/U8)/(1+Inflation!F$12)-1)*100</f>
        <v>1.829464776792511</v>
      </c>
      <c r="Y8" s="346">
        <f>((W8/V8)/(1+Inflation!G$12)-1)*100</f>
        <v>0.5234536530744682</v>
      </c>
      <c r="Z8" s="373">
        <f>(W8*L8)/($W$21*$L$21)*100</f>
        <v>15.943103187950136</v>
      </c>
      <c r="AA8" s="178">
        <v>0</v>
      </c>
      <c r="AB8" s="174">
        <v>0.43100000000000005</v>
      </c>
      <c r="AC8" s="174">
        <v>0.584</v>
      </c>
      <c r="AD8" s="174">
        <v>0.49099999999999994</v>
      </c>
      <c r="AE8" s="174">
        <v>0.635</v>
      </c>
      <c r="AF8" s="37">
        <v>6.293</v>
      </c>
      <c r="AG8" s="37">
        <v>1.782</v>
      </c>
      <c r="AH8" s="37">
        <v>1.4920000000000002</v>
      </c>
      <c r="AI8" s="37">
        <v>1.337</v>
      </c>
      <c r="AJ8" s="37">
        <f>'[1]benef_rentes_vfu_sk'!$D5/1000</f>
        <v>1.329</v>
      </c>
      <c r="AK8" s="178">
        <f>'[1]benef_rentes_vfu_sk'!$G5</f>
        <v>2778.9006772009</v>
      </c>
      <c r="AL8" s="178">
        <v>0</v>
      </c>
      <c r="AM8" s="174">
        <v>0</v>
      </c>
      <c r="AN8" s="174">
        <v>0</v>
      </c>
      <c r="AO8" s="174">
        <v>0</v>
      </c>
      <c r="AP8" s="174">
        <v>0</v>
      </c>
      <c r="AQ8" s="37">
        <v>0</v>
      </c>
      <c r="AR8" s="37">
        <v>3.405</v>
      </c>
      <c r="AS8" s="37">
        <v>3.4959999999999996</v>
      </c>
      <c r="AT8" s="37">
        <v>3.135</v>
      </c>
      <c r="AU8" s="41">
        <f>'[1]benef_rentes_vfu_sk'!$E5/1000</f>
        <v>0</v>
      </c>
      <c r="AV8" s="132" t="s">
        <v>13</v>
      </c>
    </row>
    <row r="9" spans="2:48" ht="15" customHeight="1">
      <c r="B9" s="90" t="s">
        <v>0</v>
      </c>
      <c r="C9" s="174">
        <v>379.636</v>
      </c>
      <c r="D9" s="170">
        <v>373.831</v>
      </c>
      <c r="E9" s="170">
        <v>367.888</v>
      </c>
      <c r="F9" s="170">
        <v>360.99</v>
      </c>
      <c r="G9" s="170">
        <v>354.438</v>
      </c>
      <c r="H9" s="37">
        <v>347.638</v>
      </c>
      <c r="I9" s="37">
        <v>339.847</v>
      </c>
      <c r="J9" s="37">
        <v>324.378</v>
      </c>
      <c r="K9" s="37">
        <v>314.355</v>
      </c>
      <c r="L9" s="38">
        <f>'[1]benef_rentes_vfu_sk'!$C6/1000</f>
        <v>304.439</v>
      </c>
      <c r="M9" s="366">
        <f t="shared" si="0"/>
        <v>-3.1543955082629527</v>
      </c>
      <c r="N9" s="170">
        <v>1540.4918848581274</v>
      </c>
      <c r="O9" s="170">
        <v>1597.2347023120074</v>
      </c>
      <c r="P9" s="170">
        <v>1579.067661897099</v>
      </c>
      <c r="Q9" s="170">
        <v>1598.3803540264273</v>
      </c>
      <c r="R9" s="170">
        <v>1615.440062860077</v>
      </c>
      <c r="S9" s="38">
        <v>1626.0796201796122</v>
      </c>
      <c r="T9" s="38">
        <v>1632.9417620282068</v>
      </c>
      <c r="U9" s="38">
        <v>1682.3132456578437</v>
      </c>
      <c r="V9" s="38">
        <v>1654.4055701356747</v>
      </c>
      <c r="W9" s="390">
        <f>'[1]benef_rentes_vfu_sk'!$F6</f>
        <v>1656.17808493656</v>
      </c>
      <c r="X9" s="345">
        <f>((V9/U9)/(1+Inflation!F$12)-1)*100</f>
        <v>-2.6636731002563585</v>
      </c>
      <c r="Y9" s="346">
        <f>((W9/V9)/(1+Inflation!G$12)-1)*100</f>
        <v>-1.7119902360764216</v>
      </c>
      <c r="Z9" s="373">
        <f>(W9*L9)/($W$21*$L$21)*100</f>
        <v>8.372125253638393</v>
      </c>
      <c r="AA9" s="178">
        <v>0</v>
      </c>
      <c r="AB9" s="174">
        <v>0</v>
      </c>
      <c r="AC9" s="174">
        <v>0</v>
      </c>
      <c r="AD9" s="174">
        <v>0</v>
      </c>
      <c r="AE9" s="174">
        <v>0</v>
      </c>
      <c r="AF9" s="37">
        <v>0</v>
      </c>
      <c r="AG9" s="37">
        <v>0</v>
      </c>
      <c r="AH9" s="37">
        <v>0</v>
      </c>
      <c r="AI9" s="37">
        <v>0</v>
      </c>
      <c r="AJ9" s="37">
        <v>0</v>
      </c>
      <c r="AK9" s="178" t="s">
        <v>13</v>
      </c>
      <c r="AL9" s="178">
        <v>0</v>
      </c>
      <c r="AM9" s="174">
        <v>0</v>
      </c>
      <c r="AN9" s="174">
        <v>0</v>
      </c>
      <c r="AO9" s="174">
        <v>0</v>
      </c>
      <c r="AP9" s="174">
        <v>0</v>
      </c>
      <c r="AQ9" s="37">
        <v>0</v>
      </c>
      <c r="AR9" s="37">
        <v>0</v>
      </c>
      <c r="AS9" s="37">
        <v>0</v>
      </c>
      <c r="AT9" s="37">
        <v>0</v>
      </c>
      <c r="AU9" s="41">
        <f>'[1]benef_rentes_vfu_sk'!$E6/1000</f>
        <v>0</v>
      </c>
      <c r="AV9" s="132" t="s">
        <v>13</v>
      </c>
    </row>
    <row r="10" spans="2:48" ht="15" customHeight="1">
      <c r="B10" s="114" t="s">
        <v>80</v>
      </c>
      <c r="C10" s="177">
        <v>0</v>
      </c>
      <c r="D10" s="171">
        <v>16.333</v>
      </c>
      <c r="E10" s="171">
        <v>16.352</v>
      </c>
      <c r="F10" s="171">
        <v>15.921000000000001</v>
      </c>
      <c r="G10" s="171">
        <v>15.137</v>
      </c>
      <c r="H10" s="42">
        <v>15.009999999999998</v>
      </c>
      <c r="I10" s="42">
        <v>14.795</v>
      </c>
      <c r="J10" s="42">
        <v>20.874</v>
      </c>
      <c r="K10" s="42">
        <v>18.459</v>
      </c>
      <c r="L10" s="43">
        <f>'[1]benef_rentes_vfu_sk'!$C7/1000</f>
        <v>17.706</v>
      </c>
      <c r="M10" s="367">
        <f t="shared" si="0"/>
        <v>-4.0793109052494785</v>
      </c>
      <c r="N10" s="171"/>
      <c r="O10" s="171">
        <v>1020.9859180799608</v>
      </c>
      <c r="P10" s="171">
        <v>1041.2070083170254</v>
      </c>
      <c r="Q10" s="171">
        <v>1043.3490986747063</v>
      </c>
      <c r="R10" s="171">
        <v>1015.1924423597807</v>
      </c>
      <c r="S10" s="43">
        <v>1038.5750832778149</v>
      </c>
      <c r="T10" s="43">
        <v>1013.2267657992566</v>
      </c>
      <c r="U10" s="43">
        <v>960.1453482801571</v>
      </c>
      <c r="V10" s="43">
        <v>988.3721761742239</v>
      </c>
      <c r="W10" s="390">
        <f>'[1]benef_rentes_vfu_sk'!$F7</f>
        <v>969.239353891336</v>
      </c>
      <c r="X10" s="345">
        <f>((V10/U10)/(1+Inflation!F$12)-1)*100</f>
        <v>1.8880764280496454</v>
      </c>
      <c r="Y10" s="346">
        <f>((W10/V10)/(1+Inflation!G$12)-1)*100</f>
        <v>-3.717796807204099</v>
      </c>
      <c r="Z10" s="373">
        <f>(W10*L10)/($W$21*$L$21)*100</f>
        <v>0.28495737145467226</v>
      </c>
      <c r="AA10" s="179">
        <v>0</v>
      </c>
      <c r="AB10" s="177">
        <v>0</v>
      </c>
      <c r="AC10" s="177">
        <v>0</v>
      </c>
      <c r="AD10" s="177">
        <v>0</v>
      </c>
      <c r="AE10" s="177">
        <v>0</v>
      </c>
      <c r="AF10" s="42">
        <v>0</v>
      </c>
      <c r="AG10" s="42">
        <v>0</v>
      </c>
      <c r="AH10" s="42">
        <v>0.026000000000000002</v>
      </c>
      <c r="AI10" s="42">
        <v>0.02</v>
      </c>
      <c r="AJ10" s="42">
        <f>'[1]benef_rentes_vfu_sk'!$D7/1000</f>
        <v>0.049</v>
      </c>
      <c r="AK10" s="179">
        <f>'[1]benef_rentes_vfu_sk'!$G7</f>
        <v>5404.20408163265</v>
      </c>
      <c r="AL10" s="179">
        <v>0</v>
      </c>
      <c r="AM10" s="177">
        <v>0</v>
      </c>
      <c r="AN10" s="177">
        <v>0</v>
      </c>
      <c r="AO10" s="177">
        <v>0</v>
      </c>
      <c r="AP10" s="177">
        <v>0</v>
      </c>
      <c r="AQ10" s="42">
        <v>0</v>
      </c>
      <c r="AR10" s="42">
        <v>0</v>
      </c>
      <c r="AS10" s="42">
        <v>0</v>
      </c>
      <c r="AT10" s="42">
        <v>0</v>
      </c>
      <c r="AU10" s="41">
        <f>'[1]benef_rentes_vfu_sk'!$E7/1000</f>
        <v>0</v>
      </c>
      <c r="AV10" s="44" t="s">
        <v>13</v>
      </c>
    </row>
    <row r="11" spans="2:48" ht="30" customHeight="1">
      <c r="B11" s="376" t="s">
        <v>199</v>
      </c>
      <c r="C11" s="204">
        <v>1330.692718263752</v>
      </c>
      <c r="D11" s="172">
        <v>1137.7949149091498</v>
      </c>
      <c r="E11" s="172">
        <v>1123.674030647496</v>
      </c>
      <c r="F11" s="172">
        <v>1165.4212009216878</v>
      </c>
      <c r="G11" s="172">
        <v>1179.1499960977</v>
      </c>
      <c r="H11" s="107">
        <v>1279.6606593073093</v>
      </c>
      <c r="I11" s="107">
        <v>1183.929143611115</v>
      </c>
      <c r="J11" s="107">
        <v>1257.8831511648916</v>
      </c>
      <c r="K11" s="107">
        <v>1270.523946277728</v>
      </c>
      <c r="L11" s="108">
        <f>SUM(L12,L15)</f>
        <v>1452.700276545515</v>
      </c>
      <c r="M11" s="365">
        <f t="shared" si="0"/>
        <v>14.33867742528674</v>
      </c>
      <c r="N11" s="169">
        <v>3071.455200816882</v>
      </c>
      <c r="O11" s="169">
        <v>3164.587347903582</v>
      </c>
      <c r="P11" s="169">
        <v>2836.3374068824296</v>
      </c>
      <c r="Q11" s="169">
        <v>2796.26512950962</v>
      </c>
      <c r="R11" s="169">
        <v>2894.754209660024</v>
      </c>
      <c r="S11" s="108">
        <v>2618.1675168575507</v>
      </c>
      <c r="T11" s="108">
        <v>2752.6965999747085</v>
      </c>
      <c r="U11" s="108">
        <v>2752.2948362149664</v>
      </c>
      <c r="V11" s="108">
        <v>2888.233460427768</v>
      </c>
      <c r="W11" s="108">
        <f>SUM('[1]rentes_vfu_sk'!$C$8:$C$16)/SUM('[1]benef_rentes_vfu_sk'!$C$8:$C$16)</f>
        <v>3080.598528388083</v>
      </c>
      <c r="X11" s="347">
        <f>((V11/U11)/(1+Inflation!F$12)-1)*100</f>
        <v>3.8669009859392034</v>
      </c>
      <c r="Y11" s="348">
        <f>((W11/V11)/(1+Inflation!G$12)-1)*100</f>
        <v>4.722089666257667</v>
      </c>
      <c r="Z11" s="372">
        <f>SUM(Z12,Z15)</f>
        <v>74.3086596539498</v>
      </c>
      <c r="AA11" s="181">
        <v>29.69379947414165</v>
      </c>
      <c r="AB11" s="172">
        <v>40.294764738589116</v>
      </c>
      <c r="AC11" s="172">
        <v>31.625627193478074</v>
      </c>
      <c r="AD11" s="172">
        <v>3.7901252642076924</v>
      </c>
      <c r="AE11" s="172">
        <v>46.36165299207998</v>
      </c>
      <c r="AF11" s="107">
        <v>45.8007127762638</v>
      </c>
      <c r="AG11" s="107">
        <v>46.99505453492703</v>
      </c>
      <c r="AH11" s="107">
        <v>87.37256153003051</v>
      </c>
      <c r="AI11" s="107">
        <v>55.03720433214574</v>
      </c>
      <c r="AJ11" s="109">
        <f>SUM(AJ12,AJ15)</f>
        <v>54.95326425357962</v>
      </c>
      <c r="AK11" s="181">
        <f>SUM('[1]rentes_vfu_sk'!$D$8:$D$16)/SUM('[1]benef_rentes_vfu_sk'!$D$8:$D$16)</f>
        <v>5811.896188225225</v>
      </c>
      <c r="AL11" s="181">
        <v>13.4215003416422</v>
      </c>
      <c r="AM11" s="172">
        <v>15.805733416946982</v>
      </c>
      <c r="AN11" s="172">
        <v>19.958714356106842</v>
      </c>
      <c r="AO11" s="172">
        <v>35.3504641387019</v>
      </c>
      <c r="AP11" s="172">
        <v>25.693012677760393</v>
      </c>
      <c r="AQ11" s="107">
        <v>34.905904982370394</v>
      </c>
      <c r="AR11" s="107">
        <v>34.13384653290471</v>
      </c>
      <c r="AS11" s="107">
        <v>52.143668458852495</v>
      </c>
      <c r="AT11" s="107">
        <v>51.51155102372699</v>
      </c>
      <c r="AU11" s="109">
        <f>SUM(AU12,AU15)</f>
        <v>56.36207411289158</v>
      </c>
      <c r="AV11" s="109">
        <v>0</v>
      </c>
    </row>
    <row r="12" spans="2:48" ht="15" customHeight="1">
      <c r="B12" s="377" t="s">
        <v>200</v>
      </c>
      <c r="C12" s="173">
        <v>127.803</v>
      </c>
      <c r="D12" s="173">
        <v>155.2428870687014</v>
      </c>
      <c r="E12" s="173">
        <v>175.42496483843587</v>
      </c>
      <c r="F12" s="173">
        <v>180.20026214953205</v>
      </c>
      <c r="G12" s="173">
        <v>213.98785725868933</v>
      </c>
      <c r="H12" s="110">
        <v>229.26179423641344</v>
      </c>
      <c r="I12" s="110">
        <v>248.92473016542974</v>
      </c>
      <c r="J12" s="110">
        <v>287.6997187990939</v>
      </c>
      <c r="K12" s="110">
        <v>316.6634111497934</v>
      </c>
      <c r="L12" s="111">
        <f>SUM(L13:L14)</f>
        <v>348.3383070328756</v>
      </c>
      <c r="M12" s="368">
        <f t="shared" si="0"/>
        <v>10.002701533490033</v>
      </c>
      <c r="N12" s="175">
        <v>1442.966839589055</v>
      </c>
      <c r="O12" s="175">
        <v>1410.807027415859</v>
      </c>
      <c r="P12" s="175">
        <v>1424.225527112803</v>
      </c>
      <c r="Q12" s="175">
        <v>1550.863322876019</v>
      </c>
      <c r="R12" s="175">
        <v>1571.1785416055973</v>
      </c>
      <c r="S12" s="111">
        <v>1704.1667277764486</v>
      </c>
      <c r="T12" s="111">
        <v>1827.0401718745234</v>
      </c>
      <c r="U12" s="111">
        <v>1751.3716064304622</v>
      </c>
      <c r="V12" s="111">
        <v>1803.0292839268577</v>
      </c>
      <c r="W12" s="111">
        <f>SUM('[1]rentes_vfu_sk'!$C$8:$C$9)/SUM('[1]benef_rentes_vfu_sk'!$C$8:$C$9)</f>
        <v>1867.3751989032255</v>
      </c>
      <c r="X12" s="349">
        <f>((V12/U12)/(1+Inflation!F$12)-1)*100</f>
        <v>1.897683289438712</v>
      </c>
      <c r="Y12" s="350">
        <f>((W12/V12)/(1+Inflation!G$12)-1)*100</f>
        <v>1.6867336455512527</v>
      </c>
      <c r="Z12" s="374">
        <f>SUM(Z13:Z14)</f>
        <v>10.800931706270568</v>
      </c>
      <c r="AA12" s="182">
        <v>6.538</v>
      </c>
      <c r="AB12" s="173">
        <v>6.715007446256985</v>
      </c>
      <c r="AC12" s="173">
        <v>6.049385891049655</v>
      </c>
      <c r="AD12" s="173">
        <v>0.7418815981332997</v>
      </c>
      <c r="AE12" s="173">
        <v>8.427089000295132</v>
      </c>
      <c r="AF12" s="110">
        <v>10.906866713065796</v>
      </c>
      <c r="AG12" s="110">
        <v>10.625554709605794</v>
      </c>
      <c r="AH12" s="110">
        <v>11.966626785552068</v>
      </c>
      <c r="AI12" s="110">
        <v>12.956134343544601</v>
      </c>
      <c r="AJ12" s="112">
        <f>SUM(AJ13:AJ14)</f>
        <v>13.98922247406665</v>
      </c>
      <c r="AK12" s="112">
        <f>SUM('[1]rentes_vfu_sk'!$D$8:$D$9)/SUM('[1]benef_rentes_vfu_sk'!$D$8:$D$9)</f>
        <v>8785.564161747381</v>
      </c>
      <c r="AL12" s="182">
        <v>0</v>
      </c>
      <c r="AM12" s="173">
        <v>0</v>
      </c>
      <c r="AN12" s="173">
        <v>0</v>
      </c>
      <c r="AO12" s="173">
        <v>0</v>
      </c>
      <c r="AP12" s="173">
        <v>0</v>
      </c>
      <c r="AQ12" s="110">
        <v>0</v>
      </c>
      <c r="AR12" s="110">
        <v>0</v>
      </c>
      <c r="AS12" s="110">
        <v>0</v>
      </c>
      <c r="AT12" s="110">
        <v>0</v>
      </c>
      <c r="AU12" s="112">
        <f>SUM(AU13:AU14)</f>
        <v>0</v>
      </c>
      <c r="AV12" s="113">
        <v>0</v>
      </c>
    </row>
    <row r="13" spans="2:48" ht="15" customHeight="1">
      <c r="B13" s="91" t="s">
        <v>30</v>
      </c>
      <c r="C13" s="174">
        <v>101.386</v>
      </c>
      <c r="D13" s="174">
        <v>124.1237434816315</v>
      </c>
      <c r="E13" s="174">
        <v>142.13268723021343</v>
      </c>
      <c r="F13" s="174">
        <v>143.7906661791167</v>
      </c>
      <c r="G13" s="174">
        <v>170.8742990757778</v>
      </c>
      <c r="H13" s="37">
        <v>188.70362989223096</v>
      </c>
      <c r="I13" s="37">
        <v>204.27273016542972</v>
      </c>
      <c r="J13" s="37">
        <v>237.89936633900373</v>
      </c>
      <c r="K13" s="37">
        <v>264.51741114979336</v>
      </c>
      <c r="L13" s="38">
        <f>'[1]benef_rentes_vfu_sk'!$C8/1000</f>
        <v>291.944087383194</v>
      </c>
      <c r="M13" s="366">
        <f t="shared" si="0"/>
        <v>10.368571246098135</v>
      </c>
      <c r="N13" s="170">
        <v>1577.0619119010514</v>
      </c>
      <c r="O13" s="170">
        <v>1551.4505965352935</v>
      </c>
      <c r="P13" s="170">
        <v>1541.9610147570352</v>
      </c>
      <c r="Q13" s="170">
        <v>1695.08510941215</v>
      </c>
      <c r="R13" s="170">
        <v>1710.2880644074323</v>
      </c>
      <c r="S13" s="38">
        <v>1844.324375</v>
      </c>
      <c r="T13" s="38">
        <v>2000.7815941999093</v>
      </c>
      <c r="U13" s="38">
        <v>1902.825565281143</v>
      </c>
      <c r="V13" s="38">
        <v>1956.2857514999064</v>
      </c>
      <c r="W13" s="390">
        <f>'[1]benef_rentes_vfu_sk'!$F8</f>
        <v>2015.21766018751</v>
      </c>
      <c r="X13" s="345">
        <f>((V13/U13)/(1+Inflation!F$12)-1)*100</f>
        <v>1.7590744959081528</v>
      </c>
      <c r="Y13" s="346">
        <f>((W13/V13)/(1+Inflation!G$12)-1)*100</f>
        <v>1.140514778228785</v>
      </c>
      <c r="Z13" s="373">
        <f>(W13*L13)/($W$21*$L$21)*100</f>
        <v>9.768998462634972</v>
      </c>
      <c r="AA13" s="178">
        <v>2.52</v>
      </c>
      <c r="AB13" s="174">
        <v>3.293018090188816</v>
      </c>
      <c r="AC13" s="174">
        <v>2.9595039105798646</v>
      </c>
      <c r="AD13" s="174">
        <v>0.23713735246800216</v>
      </c>
      <c r="AE13" s="174">
        <v>4.917756405118449</v>
      </c>
      <c r="AF13" s="37">
        <v>6.289769985191381</v>
      </c>
      <c r="AG13" s="37">
        <v>6.586554709605793</v>
      </c>
      <c r="AH13" s="37">
        <v>6.568198013847876</v>
      </c>
      <c r="AI13" s="37">
        <v>7.1641343435446005</v>
      </c>
      <c r="AJ13" s="41">
        <f>'[1]benef_rentes_vfu_sk'!$D8/1000</f>
        <v>7.52807274771024</v>
      </c>
      <c r="AK13" s="41">
        <f>'[1]benef_rentes_vfu_sk'!$G8</f>
        <v>7575.29439861051</v>
      </c>
      <c r="AL13" s="178">
        <v>0</v>
      </c>
      <c r="AM13" s="174">
        <v>0</v>
      </c>
      <c r="AN13" s="174">
        <v>0</v>
      </c>
      <c r="AO13" s="174">
        <v>0</v>
      </c>
      <c r="AP13" s="174">
        <v>0</v>
      </c>
      <c r="AQ13" s="37">
        <v>0</v>
      </c>
      <c r="AR13" s="37">
        <v>0</v>
      </c>
      <c r="AS13" s="37">
        <v>0</v>
      </c>
      <c r="AT13" s="37">
        <v>0</v>
      </c>
      <c r="AU13" s="41">
        <f>'[1]benef_rentes_vfu_sk'!$E8/1000</f>
        <v>0</v>
      </c>
      <c r="AV13" s="44">
        <v>0</v>
      </c>
    </row>
    <row r="14" spans="2:48" ht="15" customHeight="1">
      <c r="B14" s="90" t="s">
        <v>79</v>
      </c>
      <c r="C14" s="174">
        <v>26.417</v>
      </c>
      <c r="D14" s="174">
        <v>31.119143587069914</v>
      </c>
      <c r="E14" s="174">
        <v>33.29227760822243</v>
      </c>
      <c r="F14" s="174">
        <v>36.40959597041536</v>
      </c>
      <c r="G14" s="174">
        <v>43.11355818291153</v>
      </c>
      <c r="H14" s="37">
        <v>40.55816434418247</v>
      </c>
      <c r="I14" s="37">
        <v>44.652</v>
      </c>
      <c r="J14" s="37">
        <v>49.800352460090195</v>
      </c>
      <c r="K14" s="37">
        <v>52.145999999999994</v>
      </c>
      <c r="L14" s="38">
        <f>'[1]benef_rentes_vfu_sk'!$C9/1000</f>
        <v>56.3942196496816</v>
      </c>
      <c r="M14" s="366">
        <f t="shared" si="0"/>
        <v>8.1467795222675</v>
      </c>
      <c r="N14" s="170">
        <v>928.3223681720104</v>
      </c>
      <c r="O14" s="170">
        <v>883.9029648683409</v>
      </c>
      <c r="P14" s="170">
        <v>971.5980704496275</v>
      </c>
      <c r="Q14" s="170">
        <v>986.6208341373322</v>
      </c>
      <c r="R14" s="170">
        <v>1000.0658931531302</v>
      </c>
      <c r="S14" s="38">
        <v>1067.4999379421622</v>
      </c>
      <c r="T14" s="38">
        <v>1058.1484368001434</v>
      </c>
      <c r="U14" s="38">
        <v>1055.2205704691116</v>
      </c>
      <c r="V14" s="38">
        <v>1082.6710198289418</v>
      </c>
      <c r="W14" s="390">
        <f>'[1]benef_rentes_vfu_sk'!$F9</f>
        <v>1102.01781468469</v>
      </c>
      <c r="X14" s="345">
        <f>((V14/U14)/(1+Inflation!F$12)-1)*100</f>
        <v>1.5530795277008513</v>
      </c>
      <c r="Y14" s="346">
        <f>((W14/V14)/(1+Inflation!G$12)-1)*100</f>
        <v>-0.06270407860894389</v>
      </c>
      <c r="Z14" s="373">
        <f>(W14*L14)/($W$21*$L$21)*100</f>
        <v>1.0319332436355961</v>
      </c>
      <c r="AA14" s="178">
        <v>4.018</v>
      </c>
      <c r="AB14" s="174">
        <v>3.4219893560681696</v>
      </c>
      <c r="AC14" s="174">
        <v>3.089881980469791</v>
      </c>
      <c r="AD14" s="174">
        <v>0.5047442456652975</v>
      </c>
      <c r="AE14" s="174">
        <v>3.5093325951766827</v>
      </c>
      <c r="AF14" s="37">
        <v>4.617096727874415</v>
      </c>
      <c r="AG14" s="37">
        <v>4.039000000000001</v>
      </c>
      <c r="AH14" s="37">
        <v>5.398428771704189</v>
      </c>
      <c r="AI14" s="37">
        <v>5.792000000000001</v>
      </c>
      <c r="AJ14" s="41">
        <f>'[1]benef_rentes_vfu_sk'!$D9/1000</f>
        <v>6.4611497263564095</v>
      </c>
      <c r="AK14" s="41">
        <f>'[1]benef_rentes_vfu_sk'!$G9</f>
        <v>10195.6845284188</v>
      </c>
      <c r="AL14" s="178">
        <v>0</v>
      </c>
      <c r="AM14" s="174">
        <v>0</v>
      </c>
      <c r="AN14" s="174">
        <v>0</v>
      </c>
      <c r="AO14" s="174">
        <v>0</v>
      </c>
      <c r="AP14" s="174">
        <v>0</v>
      </c>
      <c r="AQ14" s="37">
        <v>0</v>
      </c>
      <c r="AR14" s="37">
        <v>0</v>
      </c>
      <c r="AS14" s="37">
        <v>0</v>
      </c>
      <c r="AT14" s="37">
        <v>0</v>
      </c>
      <c r="AU14" s="41">
        <f>'[1]benef_rentes_vfu_sk'!$E9/1000</f>
        <v>0</v>
      </c>
      <c r="AV14" s="44">
        <v>0</v>
      </c>
    </row>
    <row r="15" spans="2:48" ht="15" customHeight="1">
      <c r="B15" s="102" t="s">
        <v>201</v>
      </c>
      <c r="C15" s="203">
        <v>1202.889718263752</v>
      </c>
      <c r="D15" s="173">
        <v>982.5520278404483</v>
      </c>
      <c r="E15" s="173">
        <v>948.2490658090601</v>
      </c>
      <c r="F15" s="173">
        <v>985.2209387721557</v>
      </c>
      <c r="G15" s="173">
        <v>965.1621388390156</v>
      </c>
      <c r="H15" s="110">
        <v>1050.3988650708957</v>
      </c>
      <c r="I15" s="110">
        <v>935.0044134456851</v>
      </c>
      <c r="J15" s="110">
        <v>970.1834323657977</v>
      </c>
      <c r="K15" s="110">
        <v>953.8605351279348</v>
      </c>
      <c r="L15" s="111">
        <f>SUM(L16:L20)</f>
        <v>1104.3619695126395</v>
      </c>
      <c r="M15" s="368">
        <f t="shared" si="0"/>
        <v>15.778138296131416</v>
      </c>
      <c r="N15" s="175">
        <v>3244.476629855621</v>
      </c>
      <c r="O15" s="175">
        <v>3445.761124613483</v>
      </c>
      <c r="P15" s="175">
        <v>3098.104641351277</v>
      </c>
      <c r="Q15" s="175">
        <v>3025.497583907218</v>
      </c>
      <c r="R15" s="175">
        <v>3188.754028152511</v>
      </c>
      <c r="S15" s="111">
        <v>2817.1994657152813</v>
      </c>
      <c r="T15" s="111">
        <v>2998.428280397575</v>
      </c>
      <c r="U15" s="111">
        <v>3048.6059251588235</v>
      </c>
      <c r="V15" s="111">
        <v>3244.096687313763</v>
      </c>
      <c r="W15" s="111">
        <f>SUM('[1]rentes_vfu_sk'!$C$10:$C$16)/SUM('[1]benef_rentes_vfu_sk'!$C$10:$C$16)</f>
        <v>3463.2739303960366</v>
      </c>
      <c r="X15" s="349">
        <f>((V15/U15)/(1+Inflation!F$12)-1)*100</f>
        <v>5.325210177498341</v>
      </c>
      <c r="Y15" s="350">
        <f>((W15/V15)/(1+Inflation!G$12)-1)*100</f>
        <v>4.81623249582197</v>
      </c>
      <c r="Z15" s="374">
        <f>SUM(Z16:Z20)</f>
        <v>63.50772794767924</v>
      </c>
      <c r="AA15" s="182">
        <v>23.15579947414165</v>
      </c>
      <c r="AB15" s="173">
        <v>33.57975729233213</v>
      </c>
      <c r="AC15" s="173">
        <v>25.576241302428418</v>
      </c>
      <c r="AD15" s="173">
        <v>3.048243666074393</v>
      </c>
      <c r="AE15" s="173">
        <v>37.93456399178485</v>
      </c>
      <c r="AF15" s="110">
        <v>34.893846063198005</v>
      </c>
      <c r="AG15" s="110">
        <v>36.369499825321235</v>
      </c>
      <c r="AH15" s="110">
        <v>75.40593474447843</v>
      </c>
      <c r="AI15" s="110">
        <v>42.081069988601136</v>
      </c>
      <c r="AJ15" s="112">
        <f>SUM(AJ16:AJ20)</f>
        <v>40.96404177951297</v>
      </c>
      <c r="AK15" s="112">
        <f>SUM('[1]rentes_vfu_sk'!$D$10:$D$16)/SUM('[1]benef_rentes_vfu_sk'!$D$10:$D$16)</f>
        <v>4796.3884151027705</v>
      </c>
      <c r="AL15" s="182">
        <v>13.4215003416422</v>
      </c>
      <c r="AM15" s="173">
        <v>15.805733416946982</v>
      </c>
      <c r="AN15" s="173">
        <v>19.958714356106842</v>
      </c>
      <c r="AO15" s="173">
        <v>35.3504641387019</v>
      </c>
      <c r="AP15" s="173">
        <v>25.693012677760393</v>
      </c>
      <c r="AQ15" s="110">
        <v>34.905904982370394</v>
      </c>
      <c r="AR15" s="110">
        <v>34.13384653290471</v>
      </c>
      <c r="AS15" s="110">
        <v>52.143668458852495</v>
      </c>
      <c r="AT15" s="110">
        <v>51.51155102372699</v>
      </c>
      <c r="AU15" s="111">
        <f>SUM(AU16:AU20)</f>
        <v>56.36207411289158</v>
      </c>
      <c r="AV15" s="111">
        <f>SUM('[1]rentes_vfu_sk'!$E$10:$E$16)/SUM('[1]benef_rentes_vfu_sk'!$E$10:$E$16)</f>
        <v>12567.845842936955</v>
      </c>
    </row>
    <row r="16" spans="2:48" ht="15" customHeight="1">
      <c r="B16" s="91" t="s">
        <v>202</v>
      </c>
      <c r="C16" s="174">
        <v>0</v>
      </c>
      <c r="D16" s="174">
        <v>0</v>
      </c>
      <c r="E16" s="174">
        <v>0</v>
      </c>
      <c r="F16" s="174">
        <v>0</v>
      </c>
      <c r="G16" s="174">
        <v>0</v>
      </c>
      <c r="H16" s="37">
        <v>0</v>
      </c>
      <c r="I16" s="37">
        <v>0</v>
      </c>
      <c r="J16" s="37">
        <v>0</v>
      </c>
      <c r="K16" s="37">
        <v>0</v>
      </c>
      <c r="L16" s="37">
        <f>'[1]benef_rentes_vfu_sk'!$C10/1000</f>
        <v>0</v>
      </c>
      <c r="M16" s="369" t="s">
        <v>13</v>
      </c>
      <c r="N16" s="37" t="s">
        <v>13</v>
      </c>
      <c r="O16" s="37" t="s">
        <v>13</v>
      </c>
      <c r="P16" s="37" t="s">
        <v>13</v>
      </c>
      <c r="Q16" s="37" t="s">
        <v>13</v>
      </c>
      <c r="R16" s="37" t="s">
        <v>13</v>
      </c>
      <c r="S16" s="37" t="s">
        <v>13</v>
      </c>
      <c r="T16" s="37" t="s">
        <v>13</v>
      </c>
      <c r="U16" s="37" t="s">
        <v>13</v>
      </c>
      <c r="V16" s="37" t="s">
        <v>13</v>
      </c>
      <c r="W16" s="391" t="s">
        <v>13</v>
      </c>
      <c r="X16" s="345" t="s">
        <v>13</v>
      </c>
      <c r="Y16" s="346" t="s">
        <v>13</v>
      </c>
      <c r="Z16" s="373" t="s">
        <v>13</v>
      </c>
      <c r="AA16" s="178">
        <v>0</v>
      </c>
      <c r="AB16" s="174" t="s">
        <v>127</v>
      </c>
      <c r="AC16" s="174" t="s">
        <v>127</v>
      </c>
      <c r="AD16" s="174" t="s">
        <v>127</v>
      </c>
      <c r="AE16" s="174" t="s">
        <v>127</v>
      </c>
      <c r="AF16" s="37" t="s">
        <v>127</v>
      </c>
      <c r="AG16" s="37" t="s">
        <v>127</v>
      </c>
      <c r="AH16" s="37">
        <v>0</v>
      </c>
      <c r="AI16" s="37">
        <v>0</v>
      </c>
      <c r="AJ16" s="41">
        <v>0</v>
      </c>
      <c r="AK16" s="131" t="s">
        <v>13</v>
      </c>
      <c r="AL16" s="178">
        <v>6.633</v>
      </c>
      <c r="AM16" s="174">
        <v>11.835</v>
      </c>
      <c r="AN16" s="174">
        <v>16.858</v>
      </c>
      <c r="AO16" s="174">
        <v>32.314</v>
      </c>
      <c r="AP16" s="174">
        <v>25.693012677760393</v>
      </c>
      <c r="AQ16" s="37">
        <v>31.767999999999997</v>
      </c>
      <c r="AR16" s="37">
        <v>29.758000000000003</v>
      </c>
      <c r="AS16" s="37">
        <v>48.935</v>
      </c>
      <c r="AT16" s="37">
        <v>46.705</v>
      </c>
      <c r="AU16" s="41">
        <f>'[1]benef_rentes_vfu_sk'!$E10/1000</f>
        <v>51.613</v>
      </c>
      <c r="AV16" s="41">
        <f>'[1]benef_rentes_vfu_sk'!$H10</f>
        <v>11351.3006606863</v>
      </c>
    </row>
    <row r="17" spans="2:48" s="4" customFormat="1" ht="15" customHeight="1">
      <c r="B17" s="91" t="s">
        <v>92</v>
      </c>
      <c r="C17" s="184">
        <v>539.6734620832004</v>
      </c>
      <c r="D17" s="174">
        <v>333.97130174747093</v>
      </c>
      <c r="E17" s="174">
        <v>299.5571170929945</v>
      </c>
      <c r="F17" s="174">
        <v>264.3478363668288</v>
      </c>
      <c r="G17" s="174">
        <v>244.98315400447296</v>
      </c>
      <c r="H17" s="37">
        <v>286.18040305023504</v>
      </c>
      <c r="I17" s="37">
        <v>197.2887386484641</v>
      </c>
      <c r="J17" s="37">
        <v>191.040408456406</v>
      </c>
      <c r="K17" s="37">
        <v>230.5210070602367</v>
      </c>
      <c r="L17" s="37">
        <f>'[1]benef_rentes_vfu_sk'!$C11/1000</f>
        <v>238.13676042396</v>
      </c>
      <c r="M17" s="370">
        <f t="shared" si="0"/>
        <v>3.303713384235407</v>
      </c>
      <c r="N17" s="174">
        <v>4591.93572651147</v>
      </c>
      <c r="O17" s="174">
        <v>6175.1433580400335</v>
      </c>
      <c r="P17" s="174">
        <v>5008.158745395481</v>
      </c>
      <c r="Q17" s="174">
        <v>5901.216131813952</v>
      </c>
      <c r="R17" s="174">
        <v>6576.980233929625</v>
      </c>
      <c r="S17" s="37">
        <v>5552.43808428661</v>
      </c>
      <c r="T17" s="37">
        <v>6340.915839187005</v>
      </c>
      <c r="U17" s="38">
        <v>7125.318502162112</v>
      </c>
      <c r="V17" s="170">
        <v>6929.94870027439</v>
      </c>
      <c r="W17" s="392">
        <f>'[1]benef_rentes_vfu_sk'!$F11</f>
        <v>7101.56534434289</v>
      </c>
      <c r="X17" s="345">
        <f>((V17/U17)/(1+Inflation!F$12)-1)*100</f>
        <v>-3.7356302224211158</v>
      </c>
      <c r="Y17" s="346">
        <f>((W17/V17)/(1+Inflation!G$12)-1)*100</f>
        <v>0.6142649901526243</v>
      </c>
      <c r="Z17" s="373">
        <f>(W17*L17)/($W$21*$L$21)*100</f>
        <v>28.080764384881046</v>
      </c>
      <c r="AA17" s="185">
        <v>1.122533393389573</v>
      </c>
      <c r="AB17" s="186">
        <v>0.806780917502783</v>
      </c>
      <c r="AC17" s="186">
        <v>0</v>
      </c>
      <c r="AD17" s="186">
        <v>0.014480173829162182</v>
      </c>
      <c r="AE17" s="186">
        <v>1.820397723878332</v>
      </c>
      <c r="AF17" s="187">
        <v>1.7622191619781409</v>
      </c>
      <c r="AG17" s="187">
        <v>1.1004805220900131</v>
      </c>
      <c r="AH17" s="187">
        <v>1.3393393250876935</v>
      </c>
      <c r="AI17" s="187">
        <v>1.801351206431813</v>
      </c>
      <c r="AJ17" s="188">
        <f>'[1]benef_rentes_vfu_sk'!$D11/1000</f>
        <v>1.99544200537237</v>
      </c>
      <c r="AK17" s="41">
        <f>'[1]benef_rentes_vfu_sk'!$G11</f>
        <v>3706.39384116694</v>
      </c>
      <c r="AL17" s="178">
        <v>0</v>
      </c>
      <c r="AM17" s="174">
        <v>0</v>
      </c>
      <c r="AN17" s="174">
        <v>0</v>
      </c>
      <c r="AO17" s="174">
        <v>0</v>
      </c>
      <c r="AP17" s="174">
        <v>0</v>
      </c>
      <c r="AQ17" s="37">
        <v>0</v>
      </c>
      <c r="AR17" s="37">
        <v>0</v>
      </c>
      <c r="AS17" s="37">
        <v>0</v>
      </c>
      <c r="AT17" s="37">
        <v>0</v>
      </c>
      <c r="AU17" s="41">
        <f>'[1]benef_rentes_vfu_sk'!$E11/1000</f>
        <v>0</v>
      </c>
      <c r="AV17" s="44" t="s">
        <v>13</v>
      </c>
    </row>
    <row r="18" spans="2:48" ht="15" customHeight="1">
      <c r="B18" s="91" t="s">
        <v>88</v>
      </c>
      <c r="C18" s="174">
        <v>2.702289299087185</v>
      </c>
      <c r="D18" s="174">
        <v>3.257589983564049</v>
      </c>
      <c r="E18" s="174">
        <v>6.9964479208438215</v>
      </c>
      <c r="F18" s="174">
        <v>7.775434315477496</v>
      </c>
      <c r="G18" s="174">
        <v>11.58207105505165</v>
      </c>
      <c r="H18" s="37">
        <v>37.11492625489297</v>
      </c>
      <c r="I18" s="37">
        <v>50.90136696323309</v>
      </c>
      <c r="J18" s="37">
        <v>53.61235881017643</v>
      </c>
      <c r="K18" s="37">
        <v>88.89786328202878</v>
      </c>
      <c r="L18" s="37">
        <f>'[1]benef_rentes_vfu_sk'!$C12/1000</f>
        <v>65.65579836632749</v>
      </c>
      <c r="M18" s="370">
        <f t="shared" si="0"/>
        <v>-26.14468341265499</v>
      </c>
      <c r="N18" s="174">
        <v>6286.741239892183</v>
      </c>
      <c r="O18" s="174">
        <v>4175.58066502463</v>
      </c>
      <c r="P18" s="174">
        <v>4926.745086535641</v>
      </c>
      <c r="Q18" s="174">
        <v>11795.334774183932</v>
      </c>
      <c r="R18" s="174">
        <v>2134.6848129908158</v>
      </c>
      <c r="S18" s="37">
        <v>884.2019152001355</v>
      </c>
      <c r="T18" s="37">
        <v>886.8454744767105</v>
      </c>
      <c r="U18" s="38">
        <v>858.5049311629575</v>
      </c>
      <c r="V18" s="170">
        <v>809.3926224071394</v>
      </c>
      <c r="W18" s="392">
        <f>'[1]benef_rentes_vfu_sk'!$F12</f>
        <v>1142.54221108306</v>
      </c>
      <c r="X18" s="345">
        <f>((V18/U18)/(1+Inflation!F$12)-1)*100</f>
        <v>-6.68396404511753</v>
      </c>
      <c r="Y18" s="346">
        <f>((W18/V18)/(1+Inflation!G$12)-1)*100</f>
        <v>38.59530023955908</v>
      </c>
      <c r="Z18" s="373">
        <f>(W18*L18)/($W$21*$L$21)*100</f>
        <v>1.245586054951713</v>
      </c>
      <c r="AA18" s="178">
        <v>0.1893787648955979</v>
      </c>
      <c r="AB18" s="174">
        <v>0.09026573230319103</v>
      </c>
      <c r="AC18" s="174">
        <v>0.029759018730488536</v>
      </c>
      <c r="AD18" s="174">
        <v>0.07074288269488746</v>
      </c>
      <c r="AE18" s="174">
        <v>0.10637067786484279</v>
      </c>
      <c r="AF18" s="37">
        <v>0.03879134124547442</v>
      </c>
      <c r="AG18" s="37">
        <v>0.18424214483672105</v>
      </c>
      <c r="AH18" s="37">
        <v>0.26276902766040533</v>
      </c>
      <c r="AI18" s="37">
        <v>2.499314324363599</v>
      </c>
      <c r="AJ18" s="41">
        <f>'[1]benef_rentes_vfu_sk'!$D12/1000</f>
        <v>2.819195588035</v>
      </c>
      <c r="AK18" s="41">
        <f>'[1]benef_rentes_vfu_sk'!$G12</f>
        <v>2480.70128755365</v>
      </c>
      <c r="AL18" s="178">
        <v>6.788500341642201</v>
      </c>
      <c r="AM18" s="174">
        <v>3.4982986030392262</v>
      </c>
      <c r="AN18" s="174">
        <v>2.896886547454108</v>
      </c>
      <c r="AO18" s="174">
        <v>3.0364641387018985</v>
      </c>
      <c r="AP18" s="174">
        <v>5.49119354426913</v>
      </c>
      <c r="AQ18" s="37">
        <v>3.137904982370404</v>
      </c>
      <c r="AR18" s="37">
        <v>4.375846532904706</v>
      </c>
      <c r="AS18" s="37">
        <v>3.208668458852493</v>
      </c>
      <c r="AT18" s="37">
        <v>4.806551023726982</v>
      </c>
      <c r="AU18" s="41">
        <f>'[1]benef_rentes_vfu_sk'!$E12/1000</f>
        <v>4.74907411289158</v>
      </c>
      <c r="AV18" s="41">
        <f>'[1]benef_rentes_vfu_sk'!$H12</f>
        <v>25789.2749044586</v>
      </c>
    </row>
    <row r="19" spans="2:48" ht="15" customHeight="1">
      <c r="B19" s="91" t="s">
        <v>140</v>
      </c>
      <c r="C19" s="174">
        <v>660.4519668814645</v>
      </c>
      <c r="D19" s="174">
        <v>645.0462512367935</v>
      </c>
      <c r="E19" s="174">
        <v>640.7005447123069</v>
      </c>
      <c r="F19" s="174">
        <v>693.3321151274756</v>
      </c>
      <c r="G19" s="174">
        <v>706.9888071706429</v>
      </c>
      <c r="H19" s="37">
        <v>725.0924665376418</v>
      </c>
      <c r="I19" s="37">
        <v>686.0648075650072</v>
      </c>
      <c r="J19" s="37">
        <v>724.7756650992152</v>
      </c>
      <c r="K19" s="37">
        <v>632.9176647856692</v>
      </c>
      <c r="L19" s="37">
        <f>SUM('[1]benef_rentes_vfu_sk'!$C$13,'[1]benef_rentes_vfu_sk'!$C$15:$C$16)/1000</f>
        <v>799.475410722352</v>
      </c>
      <c r="M19" s="370">
        <f t="shared" si="0"/>
        <v>26.31586305828353</v>
      </c>
      <c r="N19" s="174">
        <v>2078.0958885395426</v>
      </c>
      <c r="O19" s="174">
        <v>2107.733766646128</v>
      </c>
      <c r="P19" s="174">
        <v>2242.030057429134</v>
      </c>
      <c r="Q19" s="174">
        <v>1880.9657442962944</v>
      </c>
      <c r="R19" s="174">
        <v>2023.6945508395318</v>
      </c>
      <c r="S19" s="174">
        <v>1940.9243986992708</v>
      </c>
      <c r="T19" s="174">
        <v>2078.1747943329246</v>
      </c>
      <c r="U19" s="38">
        <v>2194.872294934199</v>
      </c>
      <c r="V19" s="170">
        <v>2416.243895035491</v>
      </c>
      <c r="W19" s="392">
        <f>('[1]benef_rentes_vfu_sk'!$F$13*'[1]benef_rentes_vfu_sk'!$C$13+'[1]benef_rentes_vfu_sk'!$F$15*'[1]benef_rentes_vfu_sk'!$C$15+'[1]benef_rentes_vfu_sk'!$F$16*'[1]benef_rentes_vfu_sk'!$C$16)/SUM('[1]benef_rentes_vfu_sk'!$C$13,'[1]benef_rentes_vfu_sk'!$C$15:$C$16)</f>
        <v>2572.074053908977</v>
      </c>
      <c r="X19" s="345">
        <f>((V19/U19)/(1+Inflation!F$12)-1)*100</f>
        <v>8.961067014498436</v>
      </c>
      <c r="Y19" s="346">
        <f>((W19/V19)/(1+Inflation!G$12)-1)*100</f>
        <v>4.514895294533505</v>
      </c>
      <c r="Z19" s="373">
        <f>(W19*L19)/($W$21*$L$21)*100</f>
        <v>34.144202699468664</v>
      </c>
      <c r="AA19" s="178">
        <v>21.416887315856478</v>
      </c>
      <c r="AB19" s="174">
        <v>30.1838246671313</v>
      </c>
      <c r="AC19" s="174">
        <v>23.21356532842436</v>
      </c>
      <c r="AD19" s="174">
        <v>0.19212616622406656</v>
      </c>
      <c r="AE19" s="174">
        <v>34.67884685216723</v>
      </c>
      <c r="AF19" s="37">
        <v>31.6529575919078</v>
      </c>
      <c r="AG19" s="37">
        <v>34.71692426564324</v>
      </c>
      <c r="AH19" s="37">
        <v>73.32882639173035</v>
      </c>
      <c r="AI19" s="37">
        <v>37.332404457805715</v>
      </c>
      <c r="AJ19" s="41">
        <f>SUM('[1]benef_rentes_vfu_sk'!$D$13,'[1]benef_rentes_vfu_sk'!$D$15:$D$16)/1000</f>
        <v>35.7864041861056</v>
      </c>
      <c r="AK19" s="41">
        <f>'[1]benef_rentes_vfu_sk'!$G13</f>
        <v>5076.71452443474</v>
      </c>
      <c r="AL19" s="178">
        <v>0</v>
      </c>
      <c r="AM19" s="174">
        <v>0</v>
      </c>
      <c r="AN19" s="174">
        <v>0</v>
      </c>
      <c r="AO19" s="174">
        <v>0</v>
      </c>
      <c r="AP19" s="174">
        <v>0</v>
      </c>
      <c r="AQ19" s="37">
        <v>0</v>
      </c>
      <c r="AR19" s="37">
        <v>0</v>
      </c>
      <c r="AS19" s="37">
        <v>0</v>
      </c>
      <c r="AT19" s="37">
        <v>0</v>
      </c>
      <c r="AU19" s="41">
        <f>SUM('[1]benef_rentes_vfu_sk'!$E$13,'[1]benef_rentes_vfu_sk'!$E$15:$E$16)</f>
        <v>0</v>
      </c>
      <c r="AV19" s="44" t="s">
        <v>13</v>
      </c>
    </row>
    <row r="20" spans="2:48" s="404" customFormat="1" ht="15" customHeight="1">
      <c r="B20" s="401" t="s">
        <v>2</v>
      </c>
      <c r="C20" s="174">
        <v>0.062</v>
      </c>
      <c r="D20" s="174">
        <v>0.2768848726199295</v>
      </c>
      <c r="E20" s="174">
        <v>0.9949560829150277</v>
      </c>
      <c r="F20" s="174">
        <v>15.956075006616073</v>
      </c>
      <c r="G20" s="174">
        <v>1.608106608848058</v>
      </c>
      <c r="H20" s="174">
        <v>2.011069228126064</v>
      </c>
      <c r="I20" s="174">
        <v>0.7495002689806979</v>
      </c>
      <c r="J20" s="170">
        <v>0.755</v>
      </c>
      <c r="K20" s="170">
        <v>1.524</v>
      </c>
      <c r="L20" s="174">
        <f>'[1]benef_rentes_vfu_sk'!$C$14/1000</f>
        <v>1.094</v>
      </c>
      <c r="M20" s="370">
        <f t="shared" si="0"/>
        <v>-28.21522309711285</v>
      </c>
      <c r="N20" s="174">
        <v>1977.6451612903227</v>
      </c>
      <c r="O20" s="174">
        <v>1221.5</v>
      </c>
      <c r="P20" s="174">
        <v>2392.5138888888887</v>
      </c>
      <c r="Q20" s="174">
        <v>1293.13074204947</v>
      </c>
      <c r="R20" s="174">
        <v>1341.4083129584353</v>
      </c>
      <c r="S20" s="174">
        <v>1577.6173570019723</v>
      </c>
      <c r="T20" s="174">
        <v>3769.8358895705524</v>
      </c>
      <c r="U20" s="170">
        <v>2034.5880794701986</v>
      </c>
      <c r="V20" s="170">
        <v>860.3412073490814</v>
      </c>
      <c r="W20" s="392">
        <f>'[1]benef_rentes_vfu_sk'!$F14</f>
        <v>2046.45886654479</v>
      </c>
      <c r="X20" s="345">
        <f>((V20/U20)/(1+Inflation!F$12)-1)*100</f>
        <v>-58.146280125794924</v>
      </c>
      <c r="Y20" s="405">
        <f>((W20/V20)/(1+Inflation!G$12)-1)*100</f>
        <v>133.5435010076827</v>
      </c>
      <c r="Z20" s="373">
        <f>(W20*L20)/($W$21*$L$21)*100</f>
        <v>0.03717480837782351</v>
      </c>
      <c r="AA20" s="185">
        <v>0.427</v>
      </c>
      <c r="AB20" s="186">
        <v>2.4988859753948636</v>
      </c>
      <c r="AC20" s="186">
        <v>1.8966350330567712</v>
      </c>
      <c r="AD20" s="186">
        <v>2.79932332155477</v>
      </c>
      <c r="AE20" s="186">
        <v>1.3289487378744342</v>
      </c>
      <c r="AF20" s="186">
        <v>1.43987796806659</v>
      </c>
      <c r="AG20" s="186">
        <v>0.3678528927512628</v>
      </c>
      <c r="AH20" s="186">
        <v>0.475</v>
      </c>
      <c r="AI20" s="186">
        <v>0.44800000000000006</v>
      </c>
      <c r="AJ20" s="406">
        <f>'[1]benef_rentes_vfu_sk'!$D14/1000</f>
        <v>0.363</v>
      </c>
      <c r="AK20" s="407">
        <f>'[1]benef_rentes_vfu_sk'!$G14</f>
        <v>4344.4435261708</v>
      </c>
      <c r="AL20" s="178">
        <v>0</v>
      </c>
      <c r="AM20" s="174">
        <v>0</v>
      </c>
      <c r="AN20" s="174">
        <v>0</v>
      </c>
      <c r="AO20" s="174">
        <v>0</v>
      </c>
      <c r="AP20" s="174">
        <v>0</v>
      </c>
      <c r="AQ20" s="174">
        <v>0</v>
      </c>
      <c r="AR20" s="174">
        <v>0</v>
      </c>
      <c r="AS20" s="174">
        <v>0</v>
      </c>
      <c r="AT20" s="174">
        <v>0</v>
      </c>
      <c r="AU20" s="407">
        <f>'[1]benef_rentes_vfu_sk'!$E$14</f>
        <v>0</v>
      </c>
      <c r="AV20" s="408" t="s">
        <v>13</v>
      </c>
    </row>
    <row r="21" spans="2:48" ht="11.25">
      <c r="B21" s="100" t="s">
        <v>41</v>
      </c>
      <c r="C21" s="204">
        <f>C11+C6</f>
        <v>2136.162718263752</v>
      </c>
      <c r="D21" s="107">
        <f>D11+D6</f>
        <v>1980.1137577967602</v>
      </c>
      <c r="E21" s="107">
        <f>E11+E6</f>
        <v>1983.9114187968573</v>
      </c>
      <c r="F21" s="107">
        <v>2038.9502559453574</v>
      </c>
      <c r="G21" s="107">
        <f>G11+G6</f>
        <v>2070.1340404627445</v>
      </c>
      <c r="H21" s="107">
        <v>2195.155336239677</v>
      </c>
      <c r="I21" s="107">
        <v>2109.4742873112305</v>
      </c>
      <c r="J21" s="108">
        <v>2201.662201494148</v>
      </c>
      <c r="K21" s="169">
        <f>K11+K6</f>
        <v>2228.0423647053826</v>
      </c>
      <c r="L21" s="169">
        <f>SUM(L11,L6)</f>
        <v>2421.0464781581422</v>
      </c>
      <c r="M21" s="371">
        <f t="shared" si="0"/>
        <v>8.66249746908565</v>
      </c>
      <c r="N21" s="108">
        <v>2486.3946627237056</v>
      </c>
      <c r="O21" s="108">
        <v>2504.033156861287</v>
      </c>
      <c r="P21" s="108">
        <v>2296.4305627377503</v>
      </c>
      <c r="Q21" s="108">
        <v>2296.4957819589977</v>
      </c>
      <c r="R21" s="108">
        <v>2349.900937056645</v>
      </c>
      <c r="S21" s="108">
        <v>2196.094902999783</v>
      </c>
      <c r="T21" s="108">
        <v>2232.8287745163434</v>
      </c>
      <c r="U21" s="108">
        <v>2251.7691903676505</v>
      </c>
      <c r="V21" s="169">
        <v>2336.364573755837</v>
      </c>
      <c r="W21" s="169">
        <f>SUM('[1]rentes_vfu_sk'!$C$4:$C$16)/SUM('[1]benef_rentes_vfu_sk'!$C$4:$C$16)</f>
        <v>2487.5308547564878</v>
      </c>
      <c r="X21" s="351">
        <f>((V21/U21)/(1+Inflation!F$12)-1)*100</f>
        <v>2.6967202589686545</v>
      </c>
      <c r="Y21" s="352">
        <f>((W21/V21)/(1+Inflation!G$12)-1)*100</f>
        <v>4.535392693928375</v>
      </c>
      <c r="Z21" s="324">
        <f>Z11+Z6</f>
        <v>99.9999842920493</v>
      </c>
      <c r="AA21" s="183">
        <v>43.96279947414165</v>
      </c>
      <c r="AB21" s="107">
        <v>62.607569899690105</v>
      </c>
      <c r="AC21" s="107">
        <v>53.82569952430717</v>
      </c>
      <c r="AD21" s="107">
        <v>31.51055196942437</v>
      </c>
      <c r="AE21" s="107">
        <v>71.37928851420125</v>
      </c>
      <c r="AF21" s="107">
        <v>80.97779098237997</v>
      </c>
      <c r="AG21" s="107">
        <v>79.79429941419401</v>
      </c>
      <c r="AH21" s="107">
        <v>128.59088568030847</v>
      </c>
      <c r="AI21" s="107">
        <v>113.2983316206471</v>
      </c>
      <c r="AJ21" s="109">
        <f>AJ11+AJ6</f>
        <v>124.01180795613811</v>
      </c>
      <c r="AK21" s="109">
        <f>SUM('[1]rentes_vfu_sk'!$D$4:$D$16)/SUM('[1]benef_rentes_vfu_sk'!$D$4:$D$16)</f>
        <v>5790.900058267255</v>
      </c>
      <c r="AL21" s="183">
        <v>13.433500341642201</v>
      </c>
      <c r="AM21" s="107">
        <v>15.986196006965224</v>
      </c>
      <c r="AN21" s="107">
        <v>23.034091390632398</v>
      </c>
      <c r="AO21" s="107">
        <v>36.86855447429198</v>
      </c>
      <c r="AP21" s="107">
        <v>31.184858926580528</v>
      </c>
      <c r="AQ21" s="107">
        <v>35.8753595975164</v>
      </c>
      <c r="AR21" s="107">
        <v>40.24291832870624</v>
      </c>
      <c r="AS21" s="107">
        <v>59.54260987764109</v>
      </c>
      <c r="AT21" s="107">
        <v>60.34259912988102</v>
      </c>
      <c r="AU21" s="109">
        <f>SUM(AU11,AU6)</f>
        <v>62.74649366386939</v>
      </c>
      <c r="AV21" s="109">
        <f>(SUM('[1]rentes_vfu_sk'!$E$4:$E$16)-'[1]rentes_vfu_sk'!$E$5)/SUM('[1]benef_rentes_vfu_sk'!$H$4:$H$16)</f>
        <v>16996.998594889916</v>
      </c>
    </row>
    <row r="22" spans="2:33" ht="11.25">
      <c r="B22" s="19"/>
      <c r="C22" s="4"/>
      <c r="D22" s="4"/>
      <c r="E22" s="4"/>
      <c r="F22" s="4"/>
      <c r="G22" s="4"/>
      <c r="H22" s="4"/>
      <c r="I22" s="4"/>
      <c r="J22" s="4"/>
      <c r="K22" s="4"/>
      <c r="L22" s="4"/>
      <c r="M22" s="46"/>
      <c r="N22" s="46"/>
      <c r="O22" s="46"/>
      <c r="P22" s="46"/>
      <c r="Q22" s="46"/>
      <c r="R22" s="46"/>
      <c r="S22" s="46"/>
      <c r="T22" s="46"/>
      <c r="V22" s="46"/>
      <c r="W22" s="46"/>
      <c r="X22" s="46"/>
      <c r="Y22" s="46"/>
      <c r="Z22" s="46"/>
      <c r="AA22" s="46"/>
      <c r="AB22" s="46"/>
      <c r="AC22" s="46"/>
      <c r="AD22" s="46"/>
      <c r="AG22" s="36"/>
    </row>
    <row r="23" spans="2:33" ht="11.25">
      <c r="B23" s="20"/>
      <c r="C23" s="4"/>
      <c r="D23" s="4"/>
      <c r="E23" s="4"/>
      <c r="F23" s="4"/>
      <c r="G23" s="4"/>
      <c r="H23" s="4"/>
      <c r="I23" s="4"/>
      <c r="J23" s="4"/>
      <c r="K23" s="4"/>
      <c r="L23" s="4"/>
      <c r="M23" s="46"/>
      <c r="N23" s="46"/>
      <c r="O23" s="46"/>
      <c r="P23" s="46"/>
      <c r="Q23" s="46"/>
      <c r="R23" s="46"/>
      <c r="S23" s="46"/>
      <c r="T23" s="46"/>
      <c r="V23" s="46"/>
      <c r="W23" s="46"/>
      <c r="X23" s="46"/>
      <c r="Y23" s="46"/>
      <c r="Z23" s="46"/>
      <c r="AA23" s="46"/>
      <c r="AB23" s="46"/>
      <c r="AC23" s="46"/>
      <c r="AD23" s="46"/>
      <c r="AE23" s="46"/>
      <c r="AF23" s="46"/>
      <c r="AG23" s="36"/>
    </row>
    <row r="24" spans="2:33" ht="11.25">
      <c r="B24" s="20"/>
      <c r="C24" s="4"/>
      <c r="D24" s="4"/>
      <c r="E24" s="4"/>
      <c r="F24" s="4"/>
      <c r="G24" s="4"/>
      <c r="H24" s="4"/>
      <c r="I24" s="4"/>
      <c r="J24" s="4"/>
      <c r="K24" s="4"/>
      <c r="L24" s="4"/>
      <c r="M24" s="46"/>
      <c r="N24" s="46"/>
      <c r="O24" s="46"/>
      <c r="P24" s="46"/>
      <c r="Q24" s="46"/>
      <c r="R24" s="46"/>
      <c r="S24" s="46"/>
      <c r="T24" s="46"/>
      <c r="V24" s="46"/>
      <c r="W24" s="46"/>
      <c r="X24" s="46"/>
      <c r="Y24" s="46"/>
      <c r="Z24" s="46"/>
      <c r="AA24" s="46"/>
      <c r="AB24" s="46"/>
      <c r="AC24" s="46"/>
      <c r="AD24" s="46"/>
      <c r="AE24" s="46"/>
      <c r="AF24" s="46"/>
      <c r="AG24" s="36"/>
    </row>
    <row r="25" spans="2:33" ht="11.25">
      <c r="B25" s="20"/>
      <c r="C25" s="4"/>
      <c r="D25" s="4"/>
      <c r="E25" s="4"/>
      <c r="F25" s="4"/>
      <c r="G25" s="4"/>
      <c r="H25" s="4"/>
      <c r="I25" s="4"/>
      <c r="J25" s="4"/>
      <c r="K25" s="4"/>
      <c r="L25" s="4"/>
      <c r="M25" s="46"/>
      <c r="N25" s="46"/>
      <c r="O25" s="46"/>
      <c r="P25" s="46"/>
      <c r="Q25" s="46"/>
      <c r="R25" s="46"/>
      <c r="S25" s="46"/>
      <c r="T25" s="46"/>
      <c r="V25" s="46"/>
      <c r="W25" s="46"/>
      <c r="X25" s="46"/>
      <c r="Y25" s="46"/>
      <c r="Z25" s="46"/>
      <c r="AA25" s="46"/>
      <c r="AB25" s="46"/>
      <c r="AC25" s="46"/>
      <c r="AD25" s="46"/>
      <c r="AE25" s="46"/>
      <c r="AF25" s="46"/>
      <c r="AG25" s="36"/>
    </row>
    <row r="26" spans="2:33" ht="11.25">
      <c r="B26" s="19"/>
      <c r="C26" s="45"/>
      <c r="D26" s="45"/>
      <c r="E26" s="45"/>
      <c r="F26" s="45"/>
      <c r="G26" s="45"/>
      <c r="H26" s="45"/>
      <c r="I26" s="45"/>
      <c r="J26" s="45"/>
      <c r="K26" s="45"/>
      <c r="L26" s="45"/>
      <c r="M26" s="46"/>
      <c r="N26" s="46"/>
      <c r="O26" s="46"/>
      <c r="P26" s="46"/>
      <c r="Q26" s="46"/>
      <c r="R26" s="46"/>
      <c r="S26" s="46"/>
      <c r="T26" s="46"/>
      <c r="V26" s="46"/>
      <c r="W26" s="46"/>
      <c r="X26" s="46"/>
      <c r="Y26" s="46"/>
      <c r="Z26" s="46"/>
      <c r="AA26" s="46"/>
      <c r="AB26" s="46"/>
      <c r="AC26" s="46"/>
      <c r="AD26" s="46"/>
      <c r="AE26" s="46"/>
      <c r="AF26" s="46"/>
      <c r="AG26" s="36"/>
    </row>
    <row r="27" spans="2:33" ht="11.25">
      <c r="B27" s="23"/>
      <c r="C27" s="45"/>
      <c r="D27" s="45"/>
      <c r="E27" s="45"/>
      <c r="F27" s="45"/>
      <c r="G27" s="45"/>
      <c r="H27" s="45"/>
      <c r="I27" s="45"/>
      <c r="J27" s="45"/>
      <c r="K27" s="45"/>
      <c r="L27" s="45"/>
      <c r="M27" s="46"/>
      <c r="N27" s="46"/>
      <c r="O27" s="46"/>
      <c r="P27" s="46"/>
      <c r="Q27" s="46"/>
      <c r="R27" s="46"/>
      <c r="S27" s="46"/>
      <c r="T27" s="46"/>
      <c r="V27" s="46"/>
      <c r="W27" s="46"/>
      <c r="X27" s="46"/>
      <c r="Y27" s="46"/>
      <c r="Z27" s="46"/>
      <c r="AA27" s="46"/>
      <c r="AB27" s="46"/>
      <c r="AC27" s="46"/>
      <c r="AD27" s="46"/>
      <c r="AE27" s="46"/>
      <c r="AF27" s="46"/>
      <c r="AG27" s="36"/>
    </row>
    <row r="28" spans="4:28" ht="11.25">
      <c r="D28" s="16"/>
      <c r="E28" s="46"/>
      <c r="F28" s="46"/>
      <c r="G28" s="46"/>
      <c r="H28" s="46"/>
      <c r="I28" s="46"/>
      <c r="J28" s="46"/>
      <c r="K28" s="45"/>
      <c r="L28" s="45"/>
      <c r="Z28" s="4"/>
      <c r="AA28" s="84"/>
      <c r="AB28" s="84"/>
    </row>
    <row r="29" spans="4:26" ht="11.25">
      <c r="D29" s="16"/>
      <c r="E29" s="46"/>
      <c r="F29" s="46"/>
      <c r="G29" s="46"/>
      <c r="H29" s="46"/>
      <c r="I29" s="46"/>
      <c r="J29" s="46"/>
      <c r="K29" s="45"/>
      <c r="L29" s="45"/>
      <c r="Z29" s="4"/>
    </row>
    <row r="30" spans="4:26" ht="11.25">
      <c r="D30" s="16"/>
      <c r="K30" s="45"/>
      <c r="L30" s="45"/>
      <c r="Z30" s="4"/>
    </row>
    <row r="31" spans="4:26" ht="11.25">
      <c r="D31" s="16"/>
      <c r="K31" s="45"/>
      <c r="L31" s="45"/>
      <c r="Z31" s="4"/>
    </row>
  </sheetData>
  <sheetProtection/>
  <mergeCells count="8">
    <mergeCell ref="Z3:Z4"/>
    <mergeCell ref="AK3:AK4"/>
    <mergeCell ref="AV3:AV4"/>
    <mergeCell ref="B3:B4"/>
    <mergeCell ref="C3:M4"/>
    <mergeCell ref="N3:Y4"/>
    <mergeCell ref="AA3:AJ4"/>
    <mergeCell ref="AL3:AU4"/>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3"/>
  </sheetPr>
  <dimension ref="B1:E21"/>
  <sheetViews>
    <sheetView zoomScalePageLayoutView="0" workbookViewId="0" topLeftCell="A1">
      <selection activeCell="F19" sqref="F19"/>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ht="15" customHeight="1">
      <c r="B1" s="1" t="s">
        <v>219</v>
      </c>
    </row>
    <row r="2" ht="15" customHeight="1">
      <c r="B2" s="1"/>
    </row>
    <row r="3" ht="15" customHeight="1">
      <c r="D3" s="24" t="s">
        <v>66</v>
      </c>
    </row>
    <row r="4" spans="2:4" s="3" customFormat="1" ht="15" customHeight="1">
      <c r="B4" s="124" t="s">
        <v>25</v>
      </c>
      <c r="C4" s="124" t="s">
        <v>26</v>
      </c>
      <c r="D4" s="124" t="s">
        <v>27</v>
      </c>
    </row>
    <row r="5" spans="2:4" ht="15" customHeight="1">
      <c r="B5" s="10" t="s">
        <v>15</v>
      </c>
      <c r="C5" s="325">
        <f>'[2]NatureRente'!C4/SUM('[2]NatureRente'!$C4:$F4)*100</f>
        <v>89.14481799627694</v>
      </c>
      <c r="D5" s="325">
        <f>'[2]NatureRente'!D4/SUM('[2]NatureRente'!$C4:$F4)*100</f>
        <v>10.581559647430867</v>
      </c>
    </row>
    <row r="6" spans="2:4" ht="15" customHeight="1">
      <c r="B6" s="10" t="s">
        <v>28</v>
      </c>
      <c r="C6" s="325">
        <f>'[2]NatureRente'!C5/SUM('[2]NatureRente'!$C5:$F5)*100</f>
        <v>93.79570081173244</v>
      </c>
      <c r="D6" s="325">
        <f>'[2]NatureRente'!D5/SUM('[2]NatureRente'!$C5:$F5)*100</f>
        <v>6.185717775873757</v>
      </c>
    </row>
    <row r="7" spans="2:4" ht="15" customHeight="1">
      <c r="B7" s="10" t="s">
        <v>29</v>
      </c>
      <c r="C7" s="325">
        <f>'[2]NatureRente'!C6/SUM('[2]NatureRente'!$C6:$F6)*100</f>
        <v>96.85388534320504</v>
      </c>
      <c r="D7" s="325">
        <f>'[2]NatureRente'!D6/SUM('[2]NatureRente'!$C6:$F6)*100</f>
        <v>3.146114656794957</v>
      </c>
    </row>
    <row r="8" spans="2:4" ht="15" customHeight="1">
      <c r="B8" s="11" t="s">
        <v>30</v>
      </c>
      <c r="C8" s="325">
        <f>'[2]NatureRente'!C8/SUM('[2]NatureRente'!$C8:$F8)*100</f>
        <v>74.60859797336829</v>
      </c>
      <c r="D8" s="325">
        <f>'[2]NatureRente'!D8/SUM('[2]NatureRente'!$C8:$F8)*100</f>
        <v>25.370730071064724</v>
      </c>
    </row>
    <row r="9" spans="2:4" ht="15" customHeight="1">
      <c r="B9" s="11" t="s">
        <v>23</v>
      </c>
      <c r="C9" s="325">
        <f>'[2]NatureRente'!C9/SUM('[2]NatureRente'!$C9:$F9)*100</f>
        <v>75.39774162127061</v>
      </c>
      <c r="D9" s="325">
        <f>'[2]NatureRente'!D9/SUM('[2]NatureRente'!$C9:$F9)*100</f>
        <v>24.540928604928027</v>
      </c>
    </row>
    <row r="10" spans="2:4" ht="15" customHeight="1">
      <c r="B10" s="11" t="s">
        <v>69</v>
      </c>
      <c r="C10" s="325">
        <f>'[2]NatureRente'!C10/SUM('[2]NatureRente'!$C10:$F10)*100</f>
        <v>75.07757131271818</v>
      </c>
      <c r="D10" s="325">
        <f>'[2]NatureRente'!D10/SUM('[2]NatureRente'!$C10:$F10)*100</f>
        <v>24.870420648073058</v>
      </c>
    </row>
    <row r="11" spans="2:4" ht="15" customHeight="1">
      <c r="B11" s="11" t="s">
        <v>68</v>
      </c>
      <c r="C11" s="325">
        <f>'[2]NatureRente'!C12/SUM('[2]NatureRente'!$C12:$F12)*100</f>
        <v>76.41256337281064</v>
      </c>
      <c r="D11" s="325">
        <f>'[2]NatureRente'!D12/SUM('[2]NatureRente'!$C12:$F12)*100</f>
        <v>23.569891156878946</v>
      </c>
    </row>
    <row r="12" spans="2:4" ht="15" customHeight="1">
      <c r="B12" s="396" t="s">
        <v>147</v>
      </c>
      <c r="C12" s="397">
        <f>SUM('[2]NatureRente'!C$4:C$6,'[2]NatureRente'!C$8:C$10,'[2]NatureRente'!C$12)/SUM('[2]NatureRente'!$C$4:$F$6,'[2]NatureRente'!$C$8:$F$10,'[2]NatureRente'!$C$12:$F$12)*100</f>
        <v>85.20292034079672</v>
      </c>
      <c r="D12" s="397">
        <f>SUM('[2]NatureRente'!D$4:D$6,'[2]NatureRente'!D$8:D$10,'[2]NatureRente'!D$12)/SUM('[2]NatureRente'!$C$4:$F$6,'[2]NatureRente'!$C$8:$F$10,'[2]NatureRente'!$C$12:$F$12)*100</f>
        <v>14.772048166659893</v>
      </c>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FFC000"/>
  </sheetPr>
  <dimension ref="B2:K8"/>
  <sheetViews>
    <sheetView zoomScalePageLayoutView="0" workbookViewId="0" topLeftCell="A1">
      <selection activeCell="K1" sqref="K1"/>
    </sheetView>
  </sheetViews>
  <sheetFormatPr defaultColWidth="11.421875" defaultRowHeight="12.75"/>
  <cols>
    <col min="1" max="1" width="11.421875" style="195" customWidth="1"/>
    <col min="2" max="2" width="35.00390625" style="195" customWidth="1"/>
    <col min="3" max="10" width="9.421875" style="195" customWidth="1"/>
    <col min="11" max="16384" width="11.421875" style="195" customWidth="1"/>
  </cols>
  <sheetData>
    <row r="2" spans="2:11" ht="24" customHeight="1">
      <c r="B2" s="474" t="s">
        <v>183</v>
      </c>
      <c r="C2" s="474"/>
      <c r="D2" s="474"/>
      <c r="E2" s="474"/>
      <c r="F2" s="474"/>
      <c r="G2" s="474"/>
      <c r="H2" s="474"/>
      <c r="I2" s="474"/>
      <c r="J2" s="474"/>
      <c r="K2" s="233"/>
    </row>
    <row r="4" spans="2:11" ht="12.75">
      <c r="B4" s="234"/>
      <c r="C4" s="235">
        <v>2010</v>
      </c>
      <c r="D4" s="235">
        <v>2011</v>
      </c>
      <c r="E4" s="235">
        <v>2012</v>
      </c>
      <c r="F4" s="235">
        <v>2013</v>
      </c>
      <c r="G4" s="235">
        <v>2014</v>
      </c>
      <c r="H4" s="235">
        <v>2015</v>
      </c>
      <c r="I4" s="235">
        <v>2016</v>
      </c>
      <c r="J4" s="235">
        <v>2017</v>
      </c>
      <c r="K4" s="235">
        <v>2018</v>
      </c>
    </row>
    <row r="5" spans="2:11" ht="12.75">
      <c r="B5" s="236" t="s">
        <v>156</v>
      </c>
      <c r="C5" s="326">
        <v>5.109108441564087</v>
      </c>
      <c r="D5" s="326">
        <v>5.322647503877858</v>
      </c>
      <c r="E5" s="326">
        <v>5.40547385842902</v>
      </c>
      <c r="F5" s="326">
        <v>5.397026464168541</v>
      </c>
      <c r="G5" s="326">
        <v>5.522682235041705</v>
      </c>
      <c r="H5" s="326">
        <v>5.528681715636921</v>
      </c>
      <c r="I5" s="326">
        <v>5.561420095890111</v>
      </c>
      <c r="J5" s="326">
        <v>5.6110648663910725</v>
      </c>
      <c r="K5" s="393" t="s">
        <v>5</v>
      </c>
    </row>
    <row r="6" spans="2:11" ht="12.75">
      <c r="B6" s="237" t="s">
        <v>157</v>
      </c>
      <c r="C6" s="326">
        <v>4.069151614478222</v>
      </c>
      <c r="D6" s="326">
        <v>4.450032386135865</v>
      </c>
      <c r="E6" s="326">
        <v>4.673828040901995</v>
      </c>
      <c r="F6" s="326">
        <v>5.461213346380502</v>
      </c>
      <c r="G6" s="326">
        <v>5.533997602330629</v>
      </c>
      <c r="H6" s="326">
        <v>5.99057829341294</v>
      </c>
      <c r="I6" s="326">
        <v>6.853948289118448</v>
      </c>
      <c r="J6" s="326">
        <v>7.9948641638682</v>
      </c>
      <c r="K6" s="393" t="s">
        <v>5</v>
      </c>
    </row>
    <row r="7" spans="2:11" ht="12.75">
      <c r="B7" s="238" t="s">
        <v>158</v>
      </c>
      <c r="C7" s="326">
        <v>7.52834948578138</v>
      </c>
      <c r="D7" s="326">
        <v>6.575141354514069</v>
      </c>
      <c r="E7" s="326">
        <v>6.672779659341918</v>
      </c>
      <c r="F7" s="326">
        <v>6.325645992761188</v>
      </c>
      <c r="G7" s="326">
        <v>6.51497111684451</v>
      </c>
      <c r="H7" s="326">
        <v>5.488001814193601</v>
      </c>
      <c r="I7" s="326">
        <v>5.087114461630138</v>
      </c>
      <c r="J7" s="326">
        <v>5.371975520143535</v>
      </c>
      <c r="K7" s="393" t="s">
        <v>5</v>
      </c>
    </row>
    <row r="8" spans="2:11" ht="12.75">
      <c r="B8" s="239" t="s">
        <v>159</v>
      </c>
      <c r="C8" s="326">
        <v>12.180282228559635</v>
      </c>
      <c r="D8" s="326">
        <v>11.678522078140224</v>
      </c>
      <c r="E8" s="326">
        <v>11.929101069798493</v>
      </c>
      <c r="F8" s="326">
        <v>11.775376559431832</v>
      </c>
      <c r="G8" s="326">
        <v>12.090210382915474</v>
      </c>
      <c r="H8" s="326">
        <v>11.324307496857982</v>
      </c>
      <c r="I8" s="326">
        <v>11.194975906376559</v>
      </c>
      <c r="J8" s="326">
        <v>11.699731435863473</v>
      </c>
      <c r="K8" s="393" t="s">
        <v>5</v>
      </c>
    </row>
  </sheetData>
  <sheetProtection/>
  <mergeCells count="1">
    <mergeCell ref="B2:J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B1:BS37"/>
  <sheetViews>
    <sheetView zoomScalePageLayoutView="0" workbookViewId="0" topLeftCell="A1">
      <selection activeCell="J23" sqref="J23"/>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220</v>
      </c>
      <c r="G1" s="1"/>
    </row>
    <row r="2" spans="6:7" ht="15" customHeight="1">
      <c r="F2" s="29"/>
      <c r="G2" s="29" t="s">
        <v>66</v>
      </c>
    </row>
    <row r="3" spans="2:7" s="1" customFormat="1" ht="22.5">
      <c r="B3" s="198"/>
      <c r="C3" s="120" t="s">
        <v>24</v>
      </c>
      <c r="D3" s="120" t="s">
        <v>54</v>
      </c>
      <c r="E3" s="120" t="s">
        <v>55</v>
      </c>
      <c r="F3" s="120" t="s">
        <v>56</v>
      </c>
      <c r="G3" s="120" t="s">
        <v>38</v>
      </c>
    </row>
    <row r="4" spans="2:7" ht="15" customHeight="1">
      <c r="B4" s="327" t="s">
        <v>15</v>
      </c>
      <c r="C4" s="117">
        <f>'[2]BeneficiaireTranche'!C4/SUM('[2]BeneficiaireTranche'!$C4:$G4)*100</f>
        <v>22.656868287167892</v>
      </c>
      <c r="D4" s="330">
        <f>'[2]BeneficiaireTranche'!D4/SUM('[2]BeneficiaireTranche'!$C4:$G4)*100</f>
        <v>39.95929903900509</v>
      </c>
      <c r="E4" s="117">
        <f>'[2]BeneficiaireTranche'!E4/SUM('[2]BeneficiaireTranche'!$C4:$G4)*100</f>
        <v>25.894855850763143</v>
      </c>
      <c r="F4" s="330">
        <f>'[2]BeneficiaireTranche'!F4/SUM('[2]BeneficiaireTranche'!$C4:$G4)*100</f>
        <v>9.822498586772188</v>
      </c>
      <c r="G4" s="117">
        <f>'[2]BeneficiaireTranche'!G4/SUM('[2]BeneficiaireTranche'!$C4:$G4)*100</f>
        <v>1.6664782362916901</v>
      </c>
    </row>
    <row r="5" spans="2:7" ht="15" customHeight="1">
      <c r="B5" s="328" t="s">
        <v>28</v>
      </c>
      <c r="C5" s="118">
        <f>'[2]BeneficiaireTranche'!C5/SUM('[2]BeneficiaireTranche'!$C5:$G5)*100</f>
        <v>25.714151632777565</v>
      </c>
      <c r="D5" s="329">
        <f>'[2]BeneficiaireTranche'!D5/SUM('[2]BeneficiaireTranche'!$C5:$G5)*100</f>
        <v>32.50336879789224</v>
      </c>
      <c r="E5" s="118">
        <f>'[2]BeneficiaireTranche'!E5/SUM('[2]BeneficiaireTranche'!$C5:$G5)*100</f>
        <v>30.235156618374976</v>
      </c>
      <c r="F5" s="329">
        <f>'[2]BeneficiaireTranche'!F5/SUM('[2]BeneficiaireTranche'!$C5:$G5)*100</f>
        <v>10.861272567593842</v>
      </c>
      <c r="G5" s="118">
        <f>'[2]BeneficiaireTranche'!G5/SUM('[2]BeneficiaireTranche'!$C5:$G5)*100</f>
        <v>0.6860503833613787</v>
      </c>
    </row>
    <row r="6" spans="2:7" ht="15" customHeight="1">
      <c r="B6" s="58" t="s">
        <v>29</v>
      </c>
      <c r="C6" s="118">
        <f>'[2]BeneficiaireTranche'!C6/SUM('[2]BeneficiaireTranche'!$C6:$G6)*100</f>
        <v>15.65383806098013</v>
      </c>
      <c r="D6" s="329">
        <f>'[2]BeneficiaireTranche'!D6/SUM('[2]BeneficiaireTranche'!$C6:$G6)*100</f>
        <v>16.4300338333183</v>
      </c>
      <c r="E6" s="118">
        <f>'[2]BeneficiaireTranche'!E6/SUM('[2]BeneficiaireTranche'!$C6:$G6)*100</f>
        <v>28.330477707750934</v>
      </c>
      <c r="F6" s="329">
        <f>'[2]BeneficiaireTranche'!F6/SUM('[2]BeneficiaireTranche'!$C6:$G6)*100</f>
        <v>38.87959279781169</v>
      </c>
      <c r="G6" s="118">
        <f>'[2]BeneficiaireTranche'!G6/SUM('[2]BeneficiaireTranche'!$C6:$G6)*100</f>
        <v>0.7060576001389404</v>
      </c>
    </row>
    <row r="7" spans="2:7" ht="15" customHeight="1">
      <c r="B7" s="58" t="s">
        <v>30</v>
      </c>
      <c r="C7" s="118">
        <f>'[2]BeneficiaireTranche'!C8/SUM('[2]BeneficiaireTranche'!$C8:$G8)*100</f>
        <v>20.860395446375072</v>
      </c>
      <c r="D7" s="329">
        <f>'[2]BeneficiaireTranche'!D8/SUM('[2]BeneficiaireTranche'!$C8:$G8)*100</f>
        <v>25.274216097463555</v>
      </c>
      <c r="E7" s="118">
        <f>'[2]BeneficiaireTranche'!E8/SUM('[2]BeneficiaireTranche'!$C8:$G8)*100</f>
        <v>26.534851208308368</v>
      </c>
      <c r="F7" s="329">
        <f>'[2]BeneficiaireTranche'!F8/SUM('[2]BeneficiaireTranche'!$C8:$G8)*100</f>
        <v>21.920111843419214</v>
      </c>
      <c r="G7" s="118">
        <f>'[2]BeneficiaireTranche'!G8/SUM('[2]BeneficiaireTranche'!$C8:$G8)*100</f>
        <v>5.410425404433792</v>
      </c>
    </row>
    <row r="8" spans="2:7" ht="15" customHeight="1">
      <c r="B8" s="58" t="s">
        <v>40</v>
      </c>
      <c r="C8" s="118">
        <f>'[2]BeneficiaireTranche'!C9/SUM('[2]BeneficiaireTranche'!$C9:$G9)*100</f>
        <v>20.65604600278476</v>
      </c>
      <c r="D8" s="329">
        <f>'[2]BeneficiaireTranche'!D9/SUM('[2]BeneficiaireTranche'!$C9:$G9)*100</f>
        <v>40.61228549212492</v>
      </c>
      <c r="E8" s="118">
        <f>'[2]BeneficiaireTranche'!E9/SUM('[2]BeneficiaireTranche'!$C9:$G9)*100</f>
        <v>19.48427695701705</v>
      </c>
      <c r="F8" s="329">
        <f>'[2]BeneficiaireTranche'!F9/SUM('[2]BeneficiaireTranche'!$C9:$G9)*100</f>
        <v>17.927343086020144</v>
      </c>
      <c r="G8" s="118">
        <f>'[2]BeneficiaireTranche'!G9/SUM('[2]BeneficiaireTranche'!$C9:$G9)*100</f>
        <v>1.3200484620531274</v>
      </c>
    </row>
    <row r="9" spans="2:7" ht="15" customHeight="1">
      <c r="B9" s="58" t="s">
        <v>68</v>
      </c>
      <c r="C9" s="118">
        <f>'[2]BeneficiaireTranche'!C13/SUM('[2]BeneficiaireTranche'!$C13:$G13)*100</f>
        <v>20.763102019501</v>
      </c>
      <c r="D9" s="329">
        <f>'[2]BeneficiaireTranche'!D13/SUM('[2]BeneficiaireTranche'!$C13:$G13)*100</f>
        <v>24.01618899066178</v>
      </c>
      <c r="E9" s="118">
        <f>'[2]BeneficiaireTranche'!E13/SUM('[2]BeneficiaireTranche'!$C13:$G13)*100</f>
        <v>21.88073331455154</v>
      </c>
      <c r="F9" s="329">
        <f>'[2]BeneficiaireTranche'!F13/SUM('[2]BeneficiaireTranche'!$C13:$G13)*100</f>
        <v>21.38083982106905</v>
      </c>
      <c r="G9" s="118">
        <f>'[2]BeneficiaireTranche'!G13/SUM('[2]BeneficiaireTranche'!$C13:$G13)*100</f>
        <v>11.959135854216628</v>
      </c>
    </row>
    <row r="10" spans="2:7" ht="15" customHeight="1">
      <c r="B10" s="58" t="s">
        <v>69</v>
      </c>
      <c r="C10" s="118">
        <f>'[2]BeneficiaireTranche'!C11/SUM('[2]BeneficiaireTranche'!$C$11:$K$11)*100</f>
        <v>27.94967497809875</v>
      </c>
      <c r="D10" s="329">
        <f>'[2]BeneficiaireTranche'!D11/SUM('[2]BeneficiaireTranche'!$C$11:$K$11)*100</f>
        <v>16.93647533440815</v>
      </c>
      <c r="E10" s="118">
        <f>'[2]BeneficiaireTranche'!E11/SUM('[2]BeneficiaireTranche'!$C$11:$K$11)*100</f>
        <v>18.812989097226822</v>
      </c>
      <c r="F10" s="329">
        <f>'[2]BeneficiaireTranche'!F11/SUM('[2]BeneficiaireTranche'!$C$11:$K$11)*100</f>
        <v>16.464586232028093</v>
      </c>
      <c r="G10" s="118">
        <f>SUM('[2]BeneficiaireTranche'!$G$11:$K$11)/SUM('[2]BeneficiaireTranche'!$C$11:$K$11)*100</f>
        <v>19.83627435823818</v>
      </c>
    </row>
    <row r="11" spans="2:7" ht="15" customHeight="1">
      <c r="B11" s="331" t="s">
        <v>147</v>
      </c>
      <c r="C11" s="332">
        <f>SUM('[2]BeneficiaireTranche'!C$4:C$6,'[2]BeneficiaireTranche'!C$8:C$9,'[2]BeneficiaireTranche'!C$11,'[2]BeneficiaireTranche'!C$13)/SUM('[2]BeneficiaireTranche'!$C$4:$K$6,'[2]BeneficiaireTranche'!$C$8:$K$9,'[2]BeneficiaireTranche'!$C$11:$K$11,'[2]BeneficiaireTranche'!$C$13:$K$13)*100</f>
        <v>21.73523958043461</v>
      </c>
      <c r="D11" s="332">
        <f>SUM('[2]BeneficiaireTranche'!D$4:D$6,'[2]BeneficiaireTranche'!D$8:D$9,'[2]BeneficiaireTranche'!D$11,'[2]BeneficiaireTranche'!D$13)/SUM('[2]BeneficiaireTranche'!$C$4:$K$6,'[2]BeneficiaireTranche'!$C$8:$K$9,'[2]BeneficiaireTranche'!$C$11:$K$11,'[2]BeneficiaireTranche'!$C$13:$K$13)*100</f>
        <v>25.395278098455147</v>
      </c>
      <c r="E11" s="332">
        <f>SUM('[2]BeneficiaireTranche'!E$4:E$6,'[2]BeneficiaireTranche'!E$8:E$9,'[2]BeneficiaireTranche'!E$11,'[2]BeneficiaireTranche'!E$13)/SUM('[2]BeneficiaireTranche'!$C$4:$K$6,'[2]BeneficiaireTranche'!$C$8:$K$9,'[2]BeneficiaireTranche'!$C$11:$K$11,'[2]BeneficiaireTranche'!$C$13:$K$13)*100</f>
        <v>25.442171997564383</v>
      </c>
      <c r="F11" s="332">
        <f>SUM('[2]BeneficiaireTranche'!F$4:F$6,'[2]BeneficiaireTranche'!F$8:F$9,'[2]BeneficiaireTranche'!F$11,'[2]BeneficiaireTranche'!F$13)/SUM('[2]BeneficiaireTranche'!$C$4:$K$6,'[2]BeneficiaireTranche'!$C$8:$K$9,'[2]BeneficiaireTranche'!$C$11:$K$11,'[2]BeneficiaireTranche'!$C$13:$K$13)*100</f>
        <v>20.99342328218721</v>
      </c>
      <c r="G11" s="332">
        <f>SUM('[2]BeneficiaireTranche'!$G$4:$K$16)/SUM('[2]BeneficiaireTranche'!$C$4:$K$6,'[2]BeneficiaireTranche'!$C$8:$K$9,'[2]BeneficiaireTranche'!$C$11:$K$11,'[2]BeneficiaireTranche'!$C$13:$K$13)*100</f>
        <v>6.6349632315462035</v>
      </c>
    </row>
    <row r="18" ht="11.25">
      <c r="B18" s="119"/>
    </row>
    <row r="19" spans="7:71" ht="11.25">
      <c r="G19" s="12"/>
      <c r="H19" s="4"/>
      <c r="K19" s="35"/>
      <c r="L19" s="35"/>
      <c r="M19" s="35"/>
      <c r="N19" s="4"/>
      <c r="O19" s="4"/>
      <c r="P19" s="4"/>
      <c r="Q19" s="20"/>
      <c r="R19" s="35"/>
      <c r="S19" s="35"/>
      <c r="T19" s="35"/>
      <c r="U19" s="35"/>
      <c r="V19" s="35"/>
      <c r="W19" s="35"/>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7:71" ht="11.25">
      <c r="G20" s="12"/>
      <c r="H20" s="4"/>
      <c r="K20" s="35"/>
      <c r="L20" s="35"/>
      <c r="M20" s="35"/>
      <c r="N20" s="4"/>
      <c r="O20" s="4"/>
      <c r="P20" s="4"/>
      <c r="Q20" s="20"/>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2:71" ht="11.25">
      <c r="B21" s="26"/>
      <c r="C21" s="15"/>
      <c r="D21" s="15"/>
      <c r="E21" s="17"/>
      <c r="F21" s="17"/>
      <c r="G21" s="4"/>
      <c r="H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2:71" ht="11.25">
      <c r="B22" s="4"/>
      <c r="C22" s="399"/>
      <c r="D22" s="399"/>
      <c r="E22" s="83"/>
      <c r="F22" s="83"/>
      <c r="G22" s="46"/>
      <c r="H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2:8" ht="11.25">
      <c r="B23" s="19"/>
      <c r="C23" s="398"/>
      <c r="D23" s="398"/>
      <c r="E23" s="398"/>
      <c r="F23" s="398"/>
      <c r="G23" s="398"/>
      <c r="H23" s="4"/>
    </row>
    <row r="24" spans="2:8" ht="11.25">
      <c r="B24" s="19"/>
      <c r="C24" s="398"/>
      <c r="D24" s="398"/>
      <c r="E24" s="398"/>
      <c r="F24" s="398"/>
      <c r="G24" s="398"/>
      <c r="H24" s="4"/>
    </row>
    <row r="25" spans="2:8" ht="11.25">
      <c r="B25" s="19"/>
      <c r="C25" s="398"/>
      <c r="D25" s="398"/>
      <c r="E25" s="398"/>
      <c r="F25" s="398"/>
      <c r="G25" s="398"/>
      <c r="H25" s="4"/>
    </row>
    <row r="26" spans="2:8" ht="11.25">
      <c r="B26" s="19"/>
      <c r="C26" s="398"/>
      <c r="D26" s="398"/>
      <c r="E26" s="398"/>
      <c r="F26" s="398"/>
      <c r="G26" s="398"/>
      <c r="H26" s="4"/>
    </row>
    <row r="27" spans="2:7" ht="11.25">
      <c r="B27" s="19"/>
      <c r="C27" s="5"/>
      <c r="D27" s="5"/>
      <c r="E27" s="5"/>
      <c r="F27" s="5"/>
      <c r="G27" s="5"/>
    </row>
    <row r="28" spans="2:7" ht="11.25">
      <c r="B28" s="20"/>
      <c r="C28" s="5"/>
      <c r="D28" s="5"/>
      <c r="E28" s="5"/>
      <c r="F28" s="5"/>
      <c r="G28" s="5"/>
    </row>
    <row r="29" spans="2:7" ht="11.25">
      <c r="B29" s="19"/>
      <c r="C29" s="399"/>
      <c r="D29" s="399"/>
      <c r="E29" s="399"/>
      <c r="F29" s="399"/>
      <c r="G29" s="399"/>
    </row>
    <row r="30" spans="2:7" ht="11.25">
      <c r="B30" s="19"/>
      <c r="C30" s="399"/>
      <c r="D30" s="399"/>
      <c r="E30" s="399"/>
      <c r="F30" s="399"/>
      <c r="G30" s="399"/>
    </row>
    <row r="31" spans="2:7" ht="11.25">
      <c r="B31" s="19"/>
      <c r="C31" s="399"/>
      <c r="D31" s="399"/>
      <c r="E31" s="399"/>
      <c r="F31" s="399"/>
      <c r="G31" s="399"/>
    </row>
    <row r="32" spans="2:7" ht="11.25">
      <c r="B32" s="19"/>
      <c r="C32" s="399"/>
      <c r="D32" s="399"/>
      <c r="E32" s="399"/>
      <c r="F32" s="399"/>
      <c r="G32" s="399"/>
    </row>
    <row r="33" spans="2:7" ht="11.25">
      <c r="B33" s="4"/>
      <c r="C33" s="399"/>
      <c r="D33" s="399"/>
      <c r="E33" s="399"/>
      <c r="F33" s="399"/>
      <c r="G33" s="399"/>
    </row>
    <row r="34" spans="3:7" ht="11.25">
      <c r="C34" s="399"/>
      <c r="D34" s="399"/>
      <c r="E34" s="399"/>
      <c r="F34" s="399"/>
      <c r="G34" s="399"/>
    </row>
    <row r="35" spans="3:7" ht="11.25">
      <c r="C35" s="399"/>
      <c r="D35" s="399"/>
      <c r="E35" s="399"/>
      <c r="F35" s="399"/>
      <c r="G35" s="399"/>
    </row>
    <row r="36" spans="3:7" ht="11.25">
      <c r="C36" s="399"/>
      <c r="D36" s="399"/>
      <c r="E36" s="399"/>
      <c r="F36" s="399"/>
      <c r="G36" s="399"/>
    </row>
    <row r="37" spans="3:7" ht="11.25">
      <c r="C37" s="399"/>
      <c r="D37" s="399"/>
      <c r="E37" s="399"/>
      <c r="F37" s="399"/>
      <c r="G37" s="399"/>
    </row>
  </sheetData>
  <sheetProtection/>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B1:K57"/>
  <sheetViews>
    <sheetView zoomScalePageLayoutView="0" workbookViewId="0" topLeftCell="A1">
      <selection activeCell="A1" sqref="A1"/>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222</v>
      </c>
    </row>
    <row r="2" spans="2:7" ht="15" customHeight="1">
      <c r="B2" s="4"/>
      <c r="G2" s="24" t="s">
        <v>66</v>
      </c>
    </row>
    <row r="3" spans="2:7" s="3" customFormat="1" ht="15" customHeight="1">
      <c r="B3" s="199"/>
      <c r="C3" s="124" t="s">
        <v>31</v>
      </c>
      <c r="D3" s="124" t="s">
        <v>32</v>
      </c>
      <c r="E3" s="124" t="s">
        <v>33</v>
      </c>
      <c r="F3" s="124" t="s">
        <v>34</v>
      </c>
      <c r="G3" s="124" t="s">
        <v>35</v>
      </c>
    </row>
    <row r="4" spans="2:7" s="3" customFormat="1" ht="22.5">
      <c r="B4" s="127" t="s">
        <v>253</v>
      </c>
      <c r="C4" s="394" t="s">
        <v>5</v>
      </c>
      <c r="D4" s="394" t="s">
        <v>5</v>
      </c>
      <c r="E4" s="394" t="s">
        <v>5</v>
      </c>
      <c r="F4" s="394" t="s">
        <v>5</v>
      </c>
      <c r="G4" s="394" t="s">
        <v>5</v>
      </c>
    </row>
    <row r="5" spans="2:7" s="3" customFormat="1" ht="15" customHeight="1">
      <c r="B5" s="128" t="s">
        <v>39</v>
      </c>
      <c r="C5" s="129">
        <f>SUM('[2]BeneficiaireAge'!C$4:C$6,'[2]BeneficiaireAge'!C$8:C$9,'[2]BeneficiaireAge'!C$11,'[2]BeneficiaireAge'!C$13)/SUM('[2]BeneficiaireAge'!$C$4:$G$6,'[2]BeneficiaireAge'!$C$8:$G$9,'[2]BeneficiaireAge'!$C$11:$G$11,'[2]BeneficiaireAge'!$C$13:$G$13)*100</f>
        <v>2.0007412746422553</v>
      </c>
      <c r="D5" s="129">
        <f>SUM('[2]BeneficiaireAge'!D$4:D$6,'[2]BeneficiaireAge'!D$8:D$9,'[2]BeneficiaireAge'!D$11,'[2]BeneficiaireAge'!D$13)/SUM('[2]BeneficiaireAge'!$C$4:$G$6,'[2]BeneficiaireAge'!$C$8:$G$9,'[2]BeneficiaireAge'!$C$11:$G$11,'[2]BeneficiaireAge'!$C$13:$G$13)*100</f>
        <v>12.028206450489906</v>
      </c>
      <c r="E5" s="129">
        <f>SUM('[2]BeneficiaireAge'!E$4:E$6,'[2]BeneficiaireAge'!E$8:E$9,'[2]BeneficiaireAge'!E$11,'[2]BeneficiaireAge'!E$13)/SUM('[2]BeneficiaireAge'!$C$4:$G$6,'[2]BeneficiaireAge'!$C$8:$G$9,'[2]BeneficiaireAge'!$C$11:$G$11,'[2]BeneficiaireAge'!$C$13:$G$13)*100</f>
        <v>22.90888774290875</v>
      </c>
      <c r="F5" s="129">
        <f>SUM('[2]BeneficiaireAge'!F$4:F$6,'[2]BeneficiaireAge'!F$8:F$9,'[2]BeneficiaireAge'!F$11,'[2]BeneficiaireAge'!F$13)/SUM('[2]BeneficiaireAge'!$C$4:$G$6,'[2]BeneficiaireAge'!$C$8:$G$9,'[2]BeneficiaireAge'!$C$11:$G$11,'[2]BeneficiaireAge'!$C$13:$G$13)*100</f>
        <v>36.83839862669119</v>
      </c>
      <c r="G5" s="129">
        <f>SUM('[2]BeneficiaireAge'!G$4:G$6,'[2]BeneficiaireAge'!G$8:G$9,'[2]BeneficiaireAge'!G$11,'[2]BeneficiaireAge'!G$13)/SUM('[2]BeneficiaireAge'!$C$4:$G$6,'[2]BeneficiaireAge'!$C$8:$G$9,'[2]BeneficiaireAge'!$C$11:$G$11,'[2]BeneficiaireAge'!$C$13:$G$13)*100</f>
        <v>26.223765905267904</v>
      </c>
    </row>
    <row r="6" spans="2:7" s="3" customFormat="1" ht="15" customHeight="1">
      <c r="B6" s="9"/>
      <c r="C6" s="9"/>
      <c r="D6" s="9"/>
      <c r="E6" s="9"/>
      <c r="F6" s="9"/>
      <c r="G6" s="9"/>
    </row>
    <row r="7" spans="2:7" ht="15" customHeight="1">
      <c r="B7" s="11" t="s">
        <v>15</v>
      </c>
      <c r="C7" s="116">
        <f>'[2]BeneficiaireAge'!C4/SUM('[2]BeneficiaireAge'!$C4:$G4)*100</f>
        <v>3.1987018472003026</v>
      </c>
      <c r="D7" s="116">
        <f>'[2]BeneficiaireAge'!D4/SUM('[2]BeneficiaireAge'!$C4:$G4)*100</f>
        <v>30.871140551714937</v>
      </c>
      <c r="E7" s="116">
        <f>'[2]BeneficiaireAge'!E4/SUM('[2]BeneficiaireAge'!$C4:$G4)*100</f>
        <v>44.31724720474804</v>
      </c>
      <c r="F7" s="116">
        <f>'[2]BeneficiaireAge'!F4/SUM('[2]BeneficiaireAge'!$C4:$G4)*100</f>
        <v>20.148042767910727</v>
      </c>
      <c r="G7" s="116">
        <f>'[2]BeneficiaireAge'!G4/SUM('[2]BeneficiaireAge'!$C4:$G4)*100</f>
        <v>1.4648676284259898</v>
      </c>
    </row>
    <row r="8" spans="2:7" ht="15" customHeight="1">
      <c r="B8" s="11" t="s">
        <v>28</v>
      </c>
      <c r="C8" s="116">
        <f>'[2]BeneficiaireAge'!C5/SUM('[2]BeneficiaireAge'!$C5:$G5)*100</f>
        <v>1.6732387645688036</v>
      </c>
      <c r="D8" s="116">
        <f>'[2]BeneficiaireAge'!D5/SUM('[2]BeneficiaireAge'!$C5:$G5)*100</f>
        <v>14.355343560828167</v>
      </c>
      <c r="E8" s="116">
        <f>'[2]BeneficiaireAge'!E5/SUM('[2]BeneficiaireAge'!$C5:$G5)*100</f>
        <v>25.741566181053877</v>
      </c>
      <c r="F8" s="116">
        <f>'[2]BeneficiaireAge'!F5/SUM('[2]BeneficiaireAge'!$C5:$G5)*100</f>
        <v>39.07522433899592</v>
      </c>
      <c r="G8" s="116">
        <f>'[2]BeneficiaireAge'!G5/SUM('[2]BeneficiaireAge'!$C5:$G5)*100</f>
        <v>19.15462715455323</v>
      </c>
    </row>
    <row r="9" spans="2:7" ht="15" customHeight="1">
      <c r="B9" s="11" t="s">
        <v>29</v>
      </c>
      <c r="C9" s="116">
        <f>'[2]BeneficiaireAge'!C6/SUM('[2]BeneficiaireAge'!$C6:$G6)*100</f>
        <v>4.319748783828616</v>
      </c>
      <c r="D9" s="116">
        <f>'[2]BeneficiaireAge'!D6/SUM('[2]BeneficiaireAge'!$C6:$G6)*100</f>
        <v>2.0890884545015584</v>
      </c>
      <c r="E9" s="116">
        <f>'[2]BeneficiaireAge'!E6/SUM('[2]BeneficiaireAge'!$C6:$G6)*100</f>
        <v>1.7126583650583531</v>
      </c>
      <c r="F9" s="116">
        <f>'[2]BeneficiaireAge'!F6/SUM('[2]BeneficiaireAge'!$C6:$G6)*100</f>
        <v>29.124717923787692</v>
      </c>
      <c r="G9" s="116">
        <f>'[2]BeneficiaireAge'!G6/SUM('[2]BeneficiaireAge'!$C6:$G6)*100</f>
        <v>62.75378647282378</v>
      </c>
    </row>
    <row r="10" spans="2:7" ht="15" customHeight="1">
      <c r="B10" s="11" t="s">
        <v>30</v>
      </c>
      <c r="C10" s="116">
        <f>'[2]BeneficiaireAge'!C8/SUM('[2]BeneficiaireAge'!$C8:$G8)*100</f>
        <v>2.7127618755275877</v>
      </c>
      <c r="D10" s="116">
        <f>'[2]BeneficiaireAge'!D8/SUM('[2]BeneficiaireAge'!$C8:$G8)*100</f>
        <v>15.960402118026245</v>
      </c>
      <c r="E10" s="116">
        <f>'[2]BeneficiaireAge'!E8/SUM('[2]BeneficiaireAge'!$C8:$G8)*100</f>
        <v>33.29637019415241</v>
      </c>
      <c r="F10" s="116">
        <f>'[2]BeneficiaireAge'!F8/SUM('[2]BeneficiaireAge'!$C8:$G8)*100</f>
        <v>36.95610467347095</v>
      </c>
      <c r="G10" s="116">
        <f>'[2]BeneficiaireAge'!G8/SUM('[2]BeneficiaireAge'!$C8:$G8)*100</f>
        <v>11.074361138822807</v>
      </c>
    </row>
    <row r="11" spans="2:7" ht="15" customHeight="1">
      <c r="B11" s="11" t="s">
        <v>23</v>
      </c>
      <c r="C11" s="116">
        <f>'[2]BeneficiaireAge'!C9/SUM('[2]BeneficiaireAge'!$C9:$G9)*100</f>
        <v>1.4628062360801781</v>
      </c>
      <c r="D11" s="116">
        <f>'[2]BeneficiaireAge'!D9/SUM('[2]BeneficiaireAge'!$C9:$G9)*100</f>
        <v>14.378619153674832</v>
      </c>
      <c r="E11" s="116">
        <f>'[2]BeneficiaireAge'!E9/SUM('[2]BeneficiaireAge'!$C9:$G9)*100</f>
        <v>32.18351893095768</v>
      </c>
      <c r="F11" s="116">
        <f>'[2]BeneficiaireAge'!F9/SUM('[2]BeneficiaireAge'!$C9:$G9)*100</f>
        <v>41.765701559020044</v>
      </c>
      <c r="G11" s="116">
        <f>'[2]BeneficiaireAge'!G9/SUM('[2]BeneficiaireAge'!$C9:$G9)*100</f>
        <v>10.20935412026726</v>
      </c>
    </row>
    <row r="12" spans="2:7" ht="15" customHeight="1">
      <c r="B12" s="11" t="s">
        <v>69</v>
      </c>
      <c r="C12" s="116">
        <f>'[2]BeneficiaireAge'!C11/SUM('[2]BeneficiaireAge'!$C11:$G11)*100</f>
        <v>0.4259374232951674</v>
      </c>
      <c r="D12" s="116">
        <f>'[2]BeneficiaireAge'!D11/SUM('[2]BeneficiaireAge'!$C11:$G11)*100</f>
        <v>7.835804732958894</v>
      </c>
      <c r="E12" s="116">
        <f>'[2]BeneficiaireAge'!E11/SUM('[2]BeneficiaireAge'!$C11:$G11)*100</f>
        <v>17.117630921613074</v>
      </c>
      <c r="F12" s="116">
        <f>'[2]BeneficiaireAge'!F11/SUM('[2]BeneficiaireAge'!$C11:$G11)*100</f>
        <v>34.21143822463507</v>
      </c>
      <c r="G12" s="116">
        <f>'[2]BeneficiaireAge'!G11/SUM('[2]BeneficiaireAge'!$C11:$G11)*100</f>
        <v>40.4091886974978</v>
      </c>
    </row>
    <row r="13" spans="2:7" ht="15" customHeight="1">
      <c r="B13" s="11" t="s">
        <v>68</v>
      </c>
      <c r="C13" s="116">
        <f>'[2]BeneficiaireAge'!C13/SUM('[2]BeneficiaireAge'!$C13:$G13)*100</f>
        <v>1.1628741176254678</v>
      </c>
      <c r="D13" s="116">
        <f>'[2]BeneficiaireAge'!D13/SUM('[2]BeneficiaireAge'!$C13:$G13)*100</f>
        <v>12.390365329333624</v>
      </c>
      <c r="E13" s="116">
        <f>'[2]BeneficiaireAge'!E13/SUM('[2]BeneficiaireAge'!$C13:$G13)*100</f>
        <v>25.20850816764741</v>
      </c>
      <c r="F13" s="116">
        <f>'[2]BeneficiaireAge'!F13/SUM('[2]BeneficiaireAge'!$C13:$G13)*100</f>
        <v>39.88241123700109</v>
      </c>
      <c r="G13" s="116">
        <f>'[2]BeneficiaireAge'!G13/SUM('[2]BeneficiaireAge'!$C13:$G13)*100</f>
        <v>21.355841148392415</v>
      </c>
    </row>
    <row r="14" spans="2:7" ht="15" customHeight="1">
      <c r="B14" s="4"/>
      <c r="C14" s="329"/>
      <c r="D14" s="329"/>
      <c r="E14" s="329"/>
      <c r="F14" s="329"/>
      <c r="G14" s="329"/>
    </row>
    <row r="15" ht="11.25">
      <c r="B15" s="4"/>
    </row>
    <row r="16" ht="11.25">
      <c r="B16" s="4"/>
    </row>
    <row r="17" ht="11.25">
      <c r="B17" s="4"/>
    </row>
    <row r="18" ht="11.25">
      <c r="B18" s="4"/>
    </row>
    <row r="19" ht="11.25">
      <c r="B19" s="4"/>
    </row>
    <row r="24" spans="10:11" ht="11.25">
      <c r="J24" s="28"/>
      <c r="K24" s="28"/>
    </row>
    <row r="25" ht="11.25">
      <c r="B25" s="14"/>
    </row>
    <row r="26" ht="11.25">
      <c r="B26" s="14"/>
    </row>
    <row r="27" ht="11.25">
      <c r="B27" s="14"/>
    </row>
    <row r="28" ht="11.25">
      <c r="B28" s="14"/>
    </row>
    <row r="29" ht="11.25">
      <c r="B29" s="14"/>
    </row>
    <row r="32" spans="8:9" ht="11.25">
      <c r="H32" s="15"/>
      <c r="I32" s="4"/>
    </row>
    <row r="33" spans="8:9" ht="11.25">
      <c r="H33" s="27"/>
      <c r="I33" s="27"/>
    </row>
    <row r="34" spans="8:9" ht="11.25">
      <c r="H34" s="27"/>
      <c r="I34" s="27"/>
    </row>
    <row r="35" spans="8:9" ht="11.25">
      <c r="H35" s="27"/>
      <c r="I35" s="27"/>
    </row>
    <row r="36" spans="8:9" ht="11.25">
      <c r="H36" s="27"/>
      <c r="I36" s="27"/>
    </row>
    <row r="37" spans="8:9" ht="11.25">
      <c r="H37" s="27"/>
      <c r="I37" s="27"/>
    </row>
    <row r="38" ht="11.25">
      <c r="H38" s="27"/>
    </row>
    <row r="39" ht="11.25">
      <c r="H39" s="27"/>
    </row>
    <row r="40" ht="9" customHeight="1">
      <c r="H40" s="27"/>
    </row>
    <row r="42" spans="2:7" ht="11.25">
      <c r="B42" s="4"/>
      <c r="C42" s="12"/>
      <c r="D42" s="12"/>
      <c r="E42" s="12"/>
      <c r="F42" s="12"/>
      <c r="G42" s="12"/>
    </row>
    <row r="43" spans="2:7" ht="11.25">
      <c r="B43" s="25"/>
      <c r="C43" s="4"/>
      <c r="D43" s="4"/>
      <c r="E43" s="4"/>
      <c r="F43" s="4"/>
      <c r="G43" s="4"/>
    </row>
    <row r="44" spans="2:8" ht="11.25">
      <c r="B44" s="4"/>
      <c r="C44" s="4"/>
      <c r="D44" s="4"/>
      <c r="E44" s="4"/>
      <c r="F44" s="4"/>
      <c r="G44" s="4"/>
      <c r="H44" s="4"/>
    </row>
    <row r="45" spans="2:8" ht="11.25">
      <c r="B45" s="4"/>
      <c r="C45" s="4"/>
      <c r="D45" s="4"/>
      <c r="E45" s="4"/>
      <c r="F45" s="4"/>
      <c r="G45" s="4"/>
      <c r="H45" s="4"/>
    </row>
    <row r="46" spans="2:8" ht="11.25">
      <c r="B46" s="4"/>
      <c r="C46" s="4"/>
      <c r="D46" s="4"/>
      <c r="E46" s="4"/>
      <c r="F46" s="4"/>
      <c r="G46" s="4"/>
      <c r="H46" s="4"/>
    </row>
    <row r="47" spans="2:8" ht="11.25">
      <c r="B47" s="26"/>
      <c r="C47" s="4"/>
      <c r="D47" s="4"/>
      <c r="E47" s="4"/>
      <c r="F47" s="4"/>
      <c r="G47" s="4"/>
      <c r="H47" s="4"/>
    </row>
    <row r="48" spans="2:9" ht="11.25">
      <c r="B48" s="4"/>
      <c r="C48" s="5"/>
      <c r="D48" s="5"/>
      <c r="E48" s="5"/>
      <c r="F48" s="5"/>
      <c r="G48" s="5"/>
      <c r="H48" s="5"/>
      <c r="I48" s="22"/>
    </row>
    <row r="49" spans="2:9" ht="11.25">
      <c r="B49" s="4"/>
      <c r="C49" s="5"/>
      <c r="D49" s="5"/>
      <c r="E49" s="5"/>
      <c r="F49" s="5"/>
      <c r="G49" s="5"/>
      <c r="H49" s="5"/>
      <c r="I49" s="22"/>
    </row>
    <row r="50" spans="2:9" ht="11.25">
      <c r="B50" s="4"/>
      <c r="C50" s="5"/>
      <c r="D50" s="5"/>
      <c r="E50" s="5"/>
      <c r="F50" s="5"/>
      <c r="G50" s="5"/>
      <c r="H50" s="5"/>
      <c r="I50" s="22"/>
    </row>
    <row r="51" spans="2:9" ht="11.25">
      <c r="B51" s="4"/>
      <c r="C51" s="5"/>
      <c r="D51" s="5"/>
      <c r="E51" s="5"/>
      <c r="F51" s="5"/>
      <c r="G51" s="5"/>
      <c r="H51" s="5"/>
      <c r="I51" s="22"/>
    </row>
    <row r="52" spans="2:9" ht="11.25">
      <c r="B52" s="4"/>
      <c r="C52" s="5"/>
      <c r="D52" s="5"/>
      <c r="E52" s="5"/>
      <c r="F52" s="5"/>
      <c r="G52" s="5"/>
      <c r="H52" s="5"/>
      <c r="I52" s="22"/>
    </row>
    <row r="53" spans="2:9" ht="11.25">
      <c r="B53" s="4"/>
      <c r="C53" s="5"/>
      <c r="D53" s="5"/>
      <c r="E53" s="5"/>
      <c r="F53" s="5"/>
      <c r="G53" s="5"/>
      <c r="H53" s="5"/>
      <c r="I53" s="22"/>
    </row>
    <row r="54" spans="2:9" ht="11.25">
      <c r="B54" s="4"/>
      <c r="C54" s="5"/>
      <c r="D54" s="5"/>
      <c r="E54" s="5"/>
      <c r="F54" s="5"/>
      <c r="G54" s="5"/>
      <c r="H54" s="5"/>
      <c r="I54" s="22"/>
    </row>
    <row r="55" spans="2:9" ht="11.25">
      <c r="B55" s="26"/>
      <c r="C55" s="5"/>
      <c r="D55" s="5"/>
      <c r="E55" s="5"/>
      <c r="F55" s="5"/>
      <c r="G55" s="5"/>
      <c r="H55" s="5"/>
      <c r="I55" s="22"/>
    </row>
    <row r="56" spans="2:8" ht="11.25">
      <c r="B56" s="4"/>
      <c r="C56" s="4"/>
      <c r="D56" s="4"/>
      <c r="E56" s="4"/>
      <c r="F56" s="4"/>
      <c r="G56" s="4"/>
      <c r="H56" s="5"/>
    </row>
    <row r="57" ht="11.25">
      <c r="H57"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3"/>
  </sheetPr>
  <dimension ref="B1:H50"/>
  <sheetViews>
    <sheetView zoomScalePageLayoutView="0" workbookViewId="0" topLeftCell="A1">
      <selection activeCell="A1" sqref="A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221</v>
      </c>
    </row>
    <row r="2" ht="15" customHeight="1">
      <c r="B2" s="1"/>
    </row>
    <row r="3" ht="15" customHeight="1">
      <c r="D3" s="24" t="s">
        <v>66</v>
      </c>
    </row>
    <row r="4" spans="2:4" s="3" customFormat="1" ht="15" customHeight="1">
      <c r="B4" s="200"/>
      <c r="C4" s="130" t="s">
        <v>21</v>
      </c>
      <c r="D4" s="130" t="s">
        <v>22</v>
      </c>
    </row>
    <row r="5" spans="2:4" ht="15" customHeight="1">
      <c r="B5" s="11" t="s">
        <v>15</v>
      </c>
      <c r="C5" s="116">
        <f>'[2]BeneficiaireSexe'!C4/SUM('[2]BeneficiaireSexe'!$C4:$D4)*100</f>
        <v>54.97187826512238</v>
      </c>
      <c r="D5" s="116">
        <f>'[2]BeneficiaireSexe'!D4/SUM('[2]BeneficiaireSexe'!$C4:$D4)*100</f>
        <v>45.028121734877615</v>
      </c>
    </row>
    <row r="6" spans="2:4" ht="15" customHeight="1">
      <c r="B6" s="11" t="s">
        <v>28</v>
      </c>
      <c r="C6" s="116">
        <f>'[2]BeneficiaireSexe'!C5/SUM('[2]BeneficiaireSexe'!$C5:$D5)*100</f>
        <v>34.91006821708585</v>
      </c>
      <c r="D6" s="116">
        <f>'[2]BeneficiaireSexe'!D5/SUM('[2]BeneficiaireSexe'!$C5:$D5)*100</f>
        <v>65.08993178291415</v>
      </c>
    </row>
    <row r="7" spans="2:4" ht="15" customHeight="1">
      <c r="B7" s="11" t="s">
        <v>29</v>
      </c>
      <c r="C7" s="116">
        <f>'[2]BeneficiaireSexe'!C6/SUM('[2]BeneficiaireSexe'!$C6:$D6)*100</f>
        <v>92.79198788591475</v>
      </c>
      <c r="D7" s="116">
        <f>'[2]BeneficiaireSexe'!D6/SUM('[2]BeneficiaireSexe'!$C6:$D6)*100</f>
        <v>7.208012114085252</v>
      </c>
    </row>
    <row r="8" spans="2:4" ht="15" customHeight="1">
      <c r="B8" s="11" t="s">
        <v>30</v>
      </c>
      <c r="C8" s="116">
        <f>'[2]BeneficiaireSexe'!C8/SUM('[2]BeneficiaireSexe'!$C8:$D8)*100</f>
        <v>65.54109891799435</v>
      </c>
      <c r="D8" s="116">
        <f>'[2]BeneficiaireSexe'!D8/SUM('[2]BeneficiaireSexe'!$C8:$D8)*100</f>
        <v>34.45890108200565</v>
      </c>
    </row>
    <row r="9" spans="2:4" ht="15" customHeight="1">
      <c r="B9" s="11" t="s">
        <v>36</v>
      </c>
      <c r="C9" s="116">
        <f>'[2]BeneficiaireSexe'!C9/SUM('[2]BeneficiaireSexe'!$C9:$D9)*100</f>
        <v>66.23013327631672</v>
      </c>
      <c r="D9" s="116">
        <f>'[2]BeneficiaireSexe'!D9/SUM('[2]BeneficiaireSexe'!$C9:$D9)*100</f>
        <v>33.76986672368327</v>
      </c>
    </row>
    <row r="10" spans="2:4" ht="15" customHeight="1">
      <c r="B10" s="11" t="s">
        <v>69</v>
      </c>
      <c r="C10" s="116">
        <f>'[2]BeneficiaireSexe'!C11/SUM('[2]BeneficiaireSexe'!$C11:$D11)*100</f>
        <v>55.123123903580016</v>
      </c>
      <c r="D10" s="116">
        <f>'[2]BeneficiaireSexe'!D11/SUM('[2]BeneficiaireSexe'!$C11:$D11)*100</f>
        <v>44.876876096419984</v>
      </c>
    </row>
    <row r="11" spans="2:4" ht="15" customHeight="1">
      <c r="B11" s="11" t="s">
        <v>68</v>
      </c>
      <c r="C11" s="116">
        <f>'[2]BeneficiaireSexe'!C13/SUM('[2]BeneficiaireSexe'!$C13:$D13)*100</f>
        <v>62.52133116094593</v>
      </c>
      <c r="D11" s="116">
        <f>'[2]BeneficiaireSexe'!D13/SUM('[2]BeneficiaireSexe'!$C13:$D13)*100</f>
        <v>37.47866883905408</v>
      </c>
    </row>
    <row r="12" spans="2:4" ht="15" customHeight="1">
      <c r="B12" s="122" t="s">
        <v>41</v>
      </c>
      <c r="C12" s="395">
        <f>SUM('[2]BeneficiaireSexe'!C$4:C$6,'[2]BeneficiaireSexe'!C$8:C$9,'[2]BeneficiaireSexe'!C$11,'[2]BeneficiaireSexe'!C$13)/SUM('[2]BeneficiaireSexe'!$C$4:$D$6,'[2]BeneficiaireSexe'!$C$8:$D$9,'[2]BeneficiaireSexe'!$C$11:$D$11,'[2]BeneficiaireSexe'!$C$13:$D$13)*100</f>
        <v>58.839836722539985</v>
      </c>
      <c r="D12" s="395">
        <f>SUM('[2]BeneficiaireSexe'!D$4:D$6,'[2]BeneficiaireSexe'!D$8:D$9,'[2]BeneficiaireSexe'!D$11,'[2]BeneficiaireSexe'!D$13)/SUM('[2]BeneficiaireSexe'!$C$4:$D$6,'[2]BeneficiaireSexe'!$C$8:$D$9,'[2]BeneficiaireSexe'!$C$11:$D$11,'[2]BeneficiaireSexe'!$C$13:$D$13)*100</f>
        <v>41.160163277460015</v>
      </c>
    </row>
    <row r="21" spans="3:4" ht="11.25">
      <c r="C21" s="21"/>
      <c r="D21" s="21"/>
    </row>
    <row r="22" spans="2:4" ht="11.25">
      <c r="B22" s="25"/>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26"/>
      <c r="C41" s="4"/>
      <c r="D41" s="4"/>
      <c r="E41" s="4"/>
      <c r="G41" s="27"/>
      <c r="H41" s="27"/>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sheetPr>
  <dimension ref="A1:X57"/>
  <sheetViews>
    <sheetView zoomScale="115" zoomScaleNormal="115" zoomScalePageLayoutView="0" workbookViewId="0" topLeftCell="A1">
      <pane xSplit="1" topLeftCell="B1" activePane="topRight" state="frozen"/>
      <selection pane="topLeft" activeCell="A1" sqref="A1"/>
      <selection pane="topRight" activeCell="N20" sqref="N20"/>
    </sheetView>
  </sheetViews>
  <sheetFormatPr defaultColWidth="11.421875" defaultRowHeight="12.75"/>
  <cols>
    <col min="1" max="1" width="53.8515625" style="2" bestFit="1" customWidth="1"/>
    <col min="2" max="2" width="7.421875" style="2" customWidth="1"/>
    <col min="3" max="13" width="6.7109375" style="2" customWidth="1"/>
    <col min="14" max="15" width="6.28125" style="2" customWidth="1"/>
    <col min="16" max="16" width="11.7109375" style="2" customWidth="1"/>
    <col min="17" max="21" width="6.28125" style="2" customWidth="1"/>
    <col min="22" max="22" width="6.57421875" style="2" customWidth="1"/>
    <col min="23" max="24" width="9.28125" style="2" customWidth="1"/>
    <col min="25" max="16384" width="11.421875" style="2" customWidth="1"/>
  </cols>
  <sheetData>
    <row r="1" spans="1:15" ht="15" customHeight="1">
      <c r="A1" s="1" t="s">
        <v>3</v>
      </c>
      <c r="N1" s="36"/>
      <c r="O1" s="36"/>
    </row>
    <row r="2" spans="14:15" ht="15" customHeight="1">
      <c r="N2" s="36"/>
      <c r="O2" s="36"/>
    </row>
    <row r="3" spans="1:22" s="1" customFormat="1" ht="60" customHeight="1">
      <c r="A3" s="416"/>
      <c r="B3" s="421" t="s">
        <v>67</v>
      </c>
      <c r="C3" s="422"/>
      <c r="D3" s="422"/>
      <c r="E3" s="422"/>
      <c r="F3" s="422"/>
      <c r="G3" s="422"/>
      <c r="H3" s="422"/>
      <c r="I3" s="422"/>
      <c r="J3" s="422"/>
      <c r="K3" s="422"/>
      <c r="L3" s="422"/>
      <c r="M3" s="422"/>
      <c r="N3" s="422"/>
      <c r="O3" s="423"/>
      <c r="P3" s="240" t="s">
        <v>78</v>
      </c>
      <c r="Q3" s="418" t="s">
        <v>99</v>
      </c>
      <c r="R3" s="419"/>
      <c r="S3" s="420"/>
      <c r="T3" s="418" t="s">
        <v>98</v>
      </c>
      <c r="U3" s="419"/>
      <c r="V3" s="420"/>
    </row>
    <row r="4" spans="1:22" ht="25.5" customHeight="1">
      <c r="A4" s="417"/>
      <c r="B4" s="240">
        <v>2005</v>
      </c>
      <c r="C4" s="240">
        <v>2006</v>
      </c>
      <c r="D4" s="240">
        <v>2007</v>
      </c>
      <c r="E4" s="240">
        <v>2008</v>
      </c>
      <c r="F4" s="240">
        <v>2009</v>
      </c>
      <c r="G4" s="240">
        <v>2010</v>
      </c>
      <c r="H4" s="240">
        <v>2011</v>
      </c>
      <c r="I4" s="240">
        <v>2012</v>
      </c>
      <c r="J4" s="240">
        <v>2013</v>
      </c>
      <c r="K4" s="240">
        <v>2014</v>
      </c>
      <c r="L4" s="240">
        <v>2015</v>
      </c>
      <c r="M4" s="240">
        <v>2016</v>
      </c>
      <c r="N4" s="240">
        <v>2017</v>
      </c>
      <c r="O4" s="240">
        <v>2018</v>
      </c>
      <c r="P4" s="240">
        <v>2018</v>
      </c>
      <c r="Q4" s="240" t="s">
        <v>134</v>
      </c>
      <c r="R4" s="240" t="s">
        <v>160</v>
      </c>
      <c r="S4" s="240" t="s">
        <v>212</v>
      </c>
      <c r="T4" s="240" t="s">
        <v>134</v>
      </c>
      <c r="U4" s="240" t="s">
        <v>160</v>
      </c>
      <c r="V4" s="240" t="s">
        <v>212</v>
      </c>
    </row>
    <row r="5" spans="1:22" ht="22.5" customHeight="1">
      <c r="A5" s="100" t="s">
        <v>197</v>
      </c>
      <c r="B5" s="101">
        <f aca="true" t="shared" si="0" ref="B5:J5">SUM(B6:B9)</f>
        <v>1659.4552640000002</v>
      </c>
      <c r="C5" s="101">
        <f t="shared" si="0"/>
        <v>1980.2166900000002</v>
      </c>
      <c r="D5" s="101">
        <f t="shared" si="0"/>
        <v>2034.225090600067</v>
      </c>
      <c r="E5" s="101">
        <f t="shared" si="0"/>
        <v>2001.341155</v>
      </c>
      <c r="F5" s="101">
        <f t="shared" si="0"/>
        <v>2004.27511596</v>
      </c>
      <c r="G5" s="101">
        <f t="shared" si="0"/>
        <v>2018.883333</v>
      </c>
      <c r="H5" s="101">
        <f>SUM(H6:H9)</f>
        <v>2017.8437299999998</v>
      </c>
      <c r="I5" s="101">
        <f>SUM(I6:I9)</f>
        <v>2151.145324</v>
      </c>
      <c r="J5" s="101">
        <f t="shared" si="0"/>
        <v>2441.26903</v>
      </c>
      <c r="K5" s="101">
        <f>SUM(K6:K9)</f>
        <v>2694.3552360000003</v>
      </c>
      <c r="L5" s="101">
        <f>SUM(L6:L9)</f>
        <v>2814.2340160000003</v>
      </c>
      <c r="M5" s="101">
        <f>SUM(M6:M9)</f>
        <v>2977.171962</v>
      </c>
      <c r="N5" s="101">
        <f>SUM(N6:N9)</f>
        <v>3105.928748</v>
      </c>
      <c r="O5" s="101">
        <f>SUM(O6:O9)</f>
        <v>2182.7853139999997</v>
      </c>
      <c r="P5" s="101">
        <f>O5/O$20*100.02</f>
        <v>16.801608850526776</v>
      </c>
      <c r="Q5" s="379">
        <f>(M5/L5-1)*100.02</f>
        <v>5.79093752199175</v>
      </c>
      <c r="R5" s="379">
        <f>(N5/M5-1)*100.02</f>
        <v>4.325666740146469</v>
      </c>
      <c r="S5" s="379">
        <f>(O5/N5-1)*100.02</f>
        <v>-29.7279215848515</v>
      </c>
      <c r="T5" s="379">
        <f>(M5/(L5*(1+Inflation!$E$12))-1)*100</f>
        <v>5.596184947053784</v>
      </c>
      <c r="U5" s="379">
        <f>(N5/(M5*(1+Inflation!$F$12))-1)*100</f>
        <v>3.258878191706205</v>
      </c>
      <c r="V5" s="379">
        <f>(O5/(N5*(1+Inflation!$G$12))-1)*100</f>
        <v>-30.9990570490686</v>
      </c>
    </row>
    <row r="6" spans="1:22" ht="15" customHeight="1">
      <c r="A6" s="89" t="s">
        <v>63</v>
      </c>
      <c r="B6" s="82">
        <v>853.209903</v>
      </c>
      <c r="C6" s="82">
        <v>993.653093</v>
      </c>
      <c r="D6" s="82">
        <v>1055.634839</v>
      </c>
      <c r="E6" s="82">
        <v>1039</v>
      </c>
      <c r="F6" s="82">
        <v>1061.848816</v>
      </c>
      <c r="G6" s="82">
        <v>1096.872022</v>
      </c>
      <c r="H6" s="82">
        <v>1147.142543</v>
      </c>
      <c r="I6" s="82">
        <v>1294.472322</v>
      </c>
      <c r="J6" s="82">
        <v>1549.448194</v>
      </c>
      <c r="K6" s="82">
        <v>1831.396558</v>
      </c>
      <c r="L6" s="82">
        <v>2067.451093</v>
      </c>
      <c r="M6" s="82">
        <v>2226</v>
      </c>
      <c r="N6" s="82">
        <v>2391</v>
      </c>
      <c r="O6" s="82">
        <f>'[1]cotisations'!$H4/1000000</f>
        <v>1581.939846</v>
      </c>
      <c r="P6" s="82">
        <f aca="true" t="shared" si="1" ref="P6:P20">O6/O$20*100.02</f>
        <v>12.17670576537266</v>
      </c>
      <c r="Q6" s="380">
        <f aca="true" t="shared" si="2" ref="Q6:Q20">(M6/L6-1)*100.02</f>
        <v>7.670344286175571</v>
      </c>
      <c r="R6" s="380">
        <f aca="true" t="shared" si="3" ref="R6:R20">(N6/M6-1)*100.02</f>
        <v>7.413881401617241</v>
      </c>
      <c r="S6" s="380">
        <f aca="true" t="shared" si="4" ref="S6:S20">(O6/N6-1)*100.02</f>
        <v>-33.844498788406526</v>
      </c>
      <c r="T6" s="380">
        <f>(M6/(L6*(1+Inflation!$E$12))-1)*100</f>
        <v>7.471777290428028</v>
      </c>
      <c r="U6" s="380">
        <f>(N6/(M6*(1+Inflation!$F$12))-1)*100</f>
        <v>6.314928256082886</v>
      </c>
      <c r="V6" s="380">
        <f>(O6/(N6*(1+Inflation!$G$12))-1)*100</f>
        <v>-35.040020343652166</v>
      </c>
    </row>
    <row r="7" spans="1:22" ht="30" customHeight="1">
      <c r="A7" s="90" t="s">
        <v>198</v>
      </c>
      <c r="B7" s="81">
        <v>806.245361</v>
      </c>
      <c r="C7" s="81">
        <v>820.217892</v>
      </c>
      <c r="D7" s="81">
        <v>831.380591600067</v>
      </c>
      <c r="E7" s="81">
        <v>835</v>
      </c>
      <c r="F7" s="81">
        <v>819.414755</v>
      </c>
      <c r="G7" s="81">
        <v>801.411365</v>
      </c>
      <c r="H7" s="81">
        <v>750.847121</v>
      </c>
      <c r="I7" s="81">
        <v>741.929196</v>
      </c>
      <c r="J7" s="81">
        <v>769.522877</v>
      </c>
      <c r="K7" s="81">
        <v>756.781647</v>
      </c>
      <c r="L7" s="81">
        <v>645.411214</v>
      </c>
      <c r="M7" s="81">
        <v>656.425042</v>
      </c>
      <c r="N7" s="81">
        <v>623.271451</v>
      </c>
      <c r="O7" s="82">
        <f>'[1]cotisations'!$H5/1000000</f>
        <v>542.025853</v>
      </c>
      <c r="P7" s="82">
        <f t="shared" si="1"/>
        <v>4.172149368318101</v>
      </c>
      <c r="Q7" s="380">
        <f t="shared" si="2"/>
        <v>1.7068235764493473</v>
      </c>
      <c r="R7" s="380">
        <f t="shared" si="3"/>
        <v>-5.051638739614084</v>
      </c>
      <c r="S7" s="380">
        <f t="shared" si="4"/>
        <v>-13.037954327800575</v>
      </c>
      <c r="T7" s="380">
        <f>(M7/(L7*(1+Inflation!$E$12))-1)*100</f>
        <v>1.5203600688486807</v>
      </c>
      <c r="U7" s="380">
        <f>(N7/(M7*(1+Inflation!$F$12))-1)*100</f>
        <v>-6.020760096602973</v>
      </c>
      <c r="V7" s="380">
        <f>(O7/(N7*(1+Inflation!$G$12))-1)*100</f>
        <v>-14.615653619806789</v>
      </c>
    </row>
    <row r="8" spans="1:22" ht="15" customHeight="1">
      <c r="A8" s="90" t="s">
        <v>0</v>
      </c>
      <c r="B8" s="81" t="s">
        <v>1</v>
      </c>
      <c r="C8" s="81">
        <v>165.460786</v>
      </c>
      <c r="D8" s="81">
        <v>146.408362</v>
      </c>
      <c r="E8" s="81">
        <v>126.63334</v>
      </c>
      <c r="F8" s="81">
        <v>122.31404696</v>
      </c>
      <c r="G8" s="81">
        <v>115.702649</v>
      </c>
      <c r="H8" s="81">
        <v>115.001889</v>
      </c>
      <c r="I8" s="81">
        <v>110.101481</v>
      </c>
      <c r="J8" s="81">
        <v>117.809391</v>
      </c>
      <c r="K8" s="81">
        <v>101.205589</v>
      </c>
      <c r="L8" s="81">
        <v>97.193131</v>
      </c>
      <c r="M8" s="81">
        <v>88.465413</v>
      </c>
      <c r="N8" s="81">
        <v>87.24916</v>
      </c>
      <c r="O8" s="82">
        <f>'[1]cotisations'!$H6/1000000</f>
        <v>54.285716</v>
      </c>
      <c r="P8" s="82">
        <f t="shared" si="1"/>
        <v>0.41785482088083314</v>
      </c>
      <c r="Q8" s="380">
        <f t="shared" si="2"/>
        <v>-8.98156428729515</v>
      </c>
      <c r="R8" s="380">
        <f t="shared" si="3"/>
        <v>-1.375109445993306</v>
      </c>
      <c r="S8" s="380">
        <f t="shared" si="4"/>
        <v>-37.78837147406348</v>
      </c>
      <c r="T8" s="380">
        <f>(M8/(L8*(1+Inflation!$E$12))-1)*100</f>
        <v>-9.146334774595354</v>
      </c>
      <c r="U8" s="380">
        <f>(N8/(M8*(1+Inflation!$F$12))-1)*100</f>
        <v>-2.382522857258529</v>
      </c>
      <c r="V8" s="380">
        <f>(O8/(N8*(1+Inflation!$G$12))-1)*100</f>
        <v>-38.91145138288724</v>
      </c>
    </row>
    <row r="9" spans="1:22" ht="15" customHeight="1">
      <c r="A9" s="91" t="s">
        <v>65</v>
      </c>
      <c r="B9" s="81" t="s">
        <v>1</v>
      </c>
      <c r="C9" s="81">
        <v>0.884919</v>
      </c>
      <c r="D9" s="81">
        <v>0.801298</v>
      </c>
      <c r="E9" s="81">
        <v>0.707815</v>
      </c>
      <c r="F9" s="81">
        <v>0.697498</v>
      </c>
      <c r="G9" s="81">
        <v>4.897297</v>
      </c>
      <c r="H9" s="81">
        <v>4.852177</v>
      </c>
      <c r="I9" s="81">
        <v>4.642325</v>
      </c>
      <c r="J9" s="81">
        <v>4.488568</v>
      </c>
      <c r="K9" s="81">
        <v>4.971442</v>
      </c>
      <c r="L9" s="81">
        <v>4.178578</v>
      </c>
      <c r="M9" s="81">
        <v>6.281507</v>
      </c>
      <c r="N9" s="81">
        <v>4.408137</v>
      </c>
      <c r="O9" s="82">
        <f>'[1]cotisations'!$H7/1000000</f>
        <v>4.533899</v>
      </c>
      <c r="P9" s="82">
        <f t="shared" si="1"/>
        <v>0.034898895955186235</v>
      </c>
      <c r="Q9" s="380">
        <f t="shared" si="2"/>
        <v>50.33649212243975</v>
      </c>
      <c r="R9" s="380">
        <f t="shared" si="3"/>
        <v>-29.82954049084082</v>
      </c>
      <c r="S9" s="380">
        <f t="shared" si="4"/>
        <v>2.8535218483454576</v>
      </c>
      <c r="T9" s="380">
        <f>(M9/(L9*(1+Inflation!$E$12))-1)*100</f>
        <v>50.05133043879788</v>
      </c>
      <c r="U9" s="380">
        <f>(N9/(M9*(1+Inflation!$F$12))-1)*100</f>
        <v>-30.54059325026475</v>
      </c>
      <c r="V9" s="380">
        <f>(O9/(N9*(1+Inflation!$G$12))-1)*100</f>
        <v>0.9839255327713348</v>
      </c>
    </row>
    <row r="10" spans="1:22" ht="30" customHeight="1">
      <c r="A10" s="100" t="s">
        <v>199</v>
      </c>
      <c r="B10" s="101">
        <f aca="true" t="shared" si="5" ref="B10:M10">B11+B14</f>
        <v>6999.735578</v>
      </c>
      <c r="C10" s="101">
        <f t="shared" si="5"/>
        <v>8130.295685</v>
      </c>
      <c r="D10" s="101">
        <f t="shared" si="5"/>
        <v>8936.167667</v>
      </c>
      <c r="E10" s="101">
        <f t="shared" si="5"/>
        <v>10329.877289</v>
      </c>
      <c r="F10" s="101">
        <f t="shared" si="5"/>
        <v>10929.120577599999</v>
      </c>
      <c r="G10" s="101">
        <f t="shared" si="5"/>
        <v>8741.660597</v>
      </c>
      <c r="H10" s="101">
        <f>H11+H14</f>
        <v>8337.554951999999</v>
      </c>
      <c r="I10" s="101">
        <f>I11+I14</f>
        <v>9990.071267</v>
      </c>
      <c r="J10" s="101">
        <f>J11+J14</f>
        <v>9696.620614</v>
      </c>
      <c r="K10" s="101">
        <f>K11+K14</f>
        <v>9347.483595</v>
      </c>
      <c r="L10" s="101">
        <f t="shared" si="5"/>
        <v>10112.419254597038</v>
      </c>
      <c r="M10" s="101">
        <f t="shared" si="5"/>
        <v>10661.301248</v>
      </c>
      <c r="N10" s="101">
        <f>N11+N14</f>
        <v>10789.243339999999</v>
      </c>
      <c r="O10" s="101">
        <f>O11+O14</f>
        <v>10811.338585000001</v>
      </c>
      <c r="P10" s="101">
        <f t="shared" si="1"/>
        <v>83.21839114947322</v>
      </c>
      <c r="Q10" s="379">
        <f t="shared" si="2"/>
        <v>5.42888655997993</v>
      </c>
      <c r="R10" s="379">
        <f t="shared" si="3"/>
        <v>1.2003007648095918</v>
      </c>
      <c r="S10" s="379">
        <f t="shared" si="4"/>
        <v>0.20483052752244282</v>
      </c>
      <c r="T10" s="379">
        <f>(M10/(L10*(1+Inflation!$E$12))-1)*100</f>
        <v>5.234868799213066</v>
      </c>
      <c r="U10" s="379">
        <f>(N10/(M10*(1+Inflation!$F$12))-1)*100</f>
        <v>0.16606375451935218</v>
      </c>
      <c r="V10" s="379">
        <f>(O10/(N10*(1+Inflation!$G$12))-1)*100</f>
        <v>-1.6161142276598817</v>
      </c>
    </row>
    <row r="11" spans="1:22" ht="15" customHeight="1">
      <c r="A11" s="96" t="s">
        <v>200</v>
      </c>
      <c r="B11" s="97">
        <f aca="true" t="shared" si="6" ref="B11:M11">SUM(B12:B13)</f>
        <v>2048.109145</v>
      </c>
      <c r="C11" s="97">
        <f t="shared" si="6"/>
        <v>2123.551173</v>
      </c>
      <c r="D11" s="97">
        <f t="shared" si="6"/>
        <v>2302.262945</v>
      </c>
      <c r="E11" s="97">
        <f t="shared" si="6"/>
        <v>2445</v>
      </c>
      <c r="F11" s="97">
        <f t="shared" si="6"/>
        <v>2467.386375</v>
      </c>
      <c r="G11" s="97">
        <f t="shared" si="6"/>
        <v>2553.838254</v>
      </c>
      <c r="H11" s="97">
        <f>SUM(H12:H13)</f>
        <v>2751.313948</v>
      </c>
      <c r="I11" s="97">
        <f>SUM(I12:I13)</f>
        <v>3007.637034</v>
      </c>
      <c r="J11" s="97">
        <f t="shared" si="6"/>
        <v>3285.619642</v>
      </c>
      <c r="K11" s="97">
        <f>SUM(K12:K13)</f>
        <v>3030.69758</v>
      </c>
      <c r="L11" s="97">
        <f t="shared" si="6"/>
        <v>3101.5432530000003</v>
      </c>
      <c r="M11" s="97">
        <f t="shared" si="6"/>
        <v>3073.244865</v>
      </c>
      <c r="N11" s="97">
        <f>SUM(N12:N13)</f>
        <v>3099.378174</v>
      </c>
      <c r="O11" s="97">
        <f>SUM(O12:O13)</f>
        <v>3112.64563</v>
      </c>
      <c r="P11" s="97">
        <f t="shared" si="1"/>
        <v>23.959046283725137</v>
      </c>
      <c r="Q11" s="381">
        <f t="shared" si="2"/>
        <v>-0.9125794924904798</v>
      </c>
      <c r="R11" s="381">
        <f t="shared" si="3"/>
        <v>0.8505191356367837</v>
      </c>
      <c r="S11" s="381">
        <f t="shared" si="4"/>
        <v>0.4281539310859209</v>
      </c>
      <c r="T11" s="381">
        <f>(M11/(L11*(1+Inflation!$E$12))-1)*100</f>
        <v>-1.0937266919000432</v>
      </c>
      <c r="U11" s="381">
        <f>(N11/(M11*(1+Inflation!$F$12))-1)*100</f>
        <v>-0.18007480368639195</v>
      </c>
      <c r="V11" s="381">
        <f>(O11/(N11*(1+Inflation!$G$12))-1)*100</f>
        <v>-1.3968928619480625</v>
      </c>
    </row>
    <row r="12" spans="1:22" s="4" customFormat="1" ht="15" customHeight="1">
      <c r="A12" s="91" t="s">
        <v>30</v>
      </c>
      <c r="B12" s="81">
        <v>1848.109145</v>
      </c>
      <c r="C12" s="81">
        <v>1918.651173</v>
      </c>
      <c r="D12" s="81">
        <v>2086.262945</v>
      </c>
      <c r="E12" s="81">
        <v>2219</v>
      </c>
      <c r="F12" s="81">
        <v>2248.386375</v>
      </c>
      <c r="G12" s="81">
        <v>2328.838254</v>
      </c>
      <c r="H12" s="81">
        <v>2509.213948</v>
      </c>
      <c r="I12" s="81">
        <v>2747.037034</v>
      </c>
      <c r="J12" s="81">
        <v>3012.031742</v>
      </c>
      <c r="K12" s="81">
        <v>2767.69758</v>
      </c>
      <c r="L12" s="81">
        <v>2847.643253</v>
      </c>
      <c r="M12" s="81">
        <v>2831.244865</v>
      </c>
      <c r="N12" s="81">
        <v>2864.378174</v>
      </c>
      <c r="O12" s="81">
        <f>'[1]cotisations'!$H8/1000000</f>
        <v>2881.659985</v>
      </c>
      <c r="P12" s="81">
        <f t="shared" si="1"/>
        <v>22.18107461033837</v>
      </c>
      <c r="Q12" s="382">
        <f t="shared" si="2"/>
        <v>-0.5759734004714526</v>
      </c>
      <c r="R12" s="382">
        <f t="shared" si="3"/>
        <v>1.1705075767722353</v>
      </c>
      <c r="S12" s="382">
        <f t="shared" si="4"/>
        <v>0.6034561888195744</v>
      </c>
      <c r="T12" s="382">
        <f>(M12/(L12*(1+Inflation!$E$12))-1)*100</f>
        <v>-0.7578037714575436</v>
      </c>
      <c r="U12" s="382">
        <f>(N12/(M12*(1+Inflation!$F$12))-1)*100</f>
        <v>0.13658087065264723</v>
      </c>
      <c r="V12" s="382">
        <f>(O12/(N12*(1+Inflation!$G$12))-1)*100</f>
        <v>-1.2248105824398392</v>
      </c>
    </row>
    <row r="13" spans="1:22" s="4" customFormat="1" ht="15" customHeight="1">
      <c r="A13" s="91" t="s">
        <v>40</v>
      </c>
      <c r="B13" s="81">
        <v>200</v>
      </c>
      <c r="C13" s="81">
        <v>204.9</v>
      </c>
      <c r="D13" s="81">
        <v>216</v>
      </c>
      <c r="E13" s="81">
        <v>226</v>
      </c>
      <c r="F13" s="81">
        <v>219</v>
      </c>
      <c r="G13" s="81">
        <v>225</v>
      </c>
      <c r="H13" s="81">
        <v>242.1</v>
      </c>
      <c r="I13" s="81">
        <v>260.6</v>
      </c>
      <c r="J13" s="81">
        <v>273.5879</v>
      </c>
      <c r="K13" s="81">
        <v>263</v>
      </c>
      <c r="L13" s="81">
        <v>253.9</v>
      </c>
      <c r="M13" s="81">
        <v>242</v>
      </c>
      <c r="N13" s="81">
        <v>235</v>
      </c>
      <c r="O13" s="81">
        <f>'[1]cotisations'!$H9/1000000</f>
        <v>230.985645</v>
      </c>
      <c r="P13" s="81">
        <f t="shared" si="1"/>
        <v>1.7779716733867659</v>
      </c>
      <c r="Q13" s="382">
        <f t="shared" si="2"/>
        <v>-4.687821977156365</v>
      </c>
      <c r="R13" s="382">
        <f t="shared" si="3"/>
        <v>-2.89314049586777</v>
      </c>
      <c r="S13" s="382">
        <f t="shared" si="4"/>
        <v>-1.708577817446805</v>
      </c>
      <c r="T13" s="382">
        <f>(M13/(L13*(1+Inflation!$E$12))-1)*100</f>
        <v>-4.861306990939529</v>
      </c>
      <c r="U13" s="382">
        <f>(N13/(M13*(1+Inflation!$F$12))-1)*100</f>
        <v>-3.8847432001556825</v>
      </c>
      <c r="V13" s="382">
        <f>(O13/(N13*(1+Inflation!$G$12))-1)*100</f>
        <v>-3.494376800482113</v>
      </c>
    </row>
    <row r="14" spans="1:22" s="4" customFormat="1" ht="15" customHeight="1">
      <c r="A14" s="94" t="s">
        <v>201</v>
      </c>
      <c r="B14" s="95">
        <f aca="true" t="shared" si="7" ref="B14:M14">SUM(B15:B19)</f>
        <v>4951.626433</v>
      </c>
      <c r="C14" s="95">
        <f t="shared" si="7"/>
        <v>6006.744512</v>
      </c>
      <c r="D14" s="95">
        <f t="shared" si="7"/>
        <v>6633.904721999999</v>
      </c>
      <c r="E14" s="95">
        <f t="shared" si="7"/>
        <v>7884.877288999999</v>
      </c>
      <c r="F14" s="95">
        <f t="shared" si="7"/>
        <v>8461.734202599999</v>
      </c>
      <c r="G14" s="95">
        <f t="shared" si="7"/>
        <v>6187.822343</v>
      </c>
      <c r="H14" s="95">
        <f t="shared" si="7"/>
        <v>5586.2410039999995</v>
      </c>
      <c r="I14" s="95">
        <f t="shared" si="7"/>
        <v>6982.434233</v>
      </c>
      <c r="J14" s="95">
        <f t="shared" si="7"/>
        <v>6411.000972</v>
      </c>
      <c r="K14" s="95">
        <f t="shared" si="7"/>
        <v>6316.786015</v>
      </c>
      <c r="L14" s="95">
        <f t="shared" si="7"/>
        <v>7010.876001597037</v>
      </c>
      <c r="M14" s="95">
        <f t="shared" si="7"/>
        <v>7588.056383</v>
      </c>
      <c r="N14" s="95">
        <f>SUM(N15:N19)</f>
        <v>7689.865166</v>
      </c>
      <c r="O14" s="95">
        <f>SUM(O15:O19)</f>
        <v>7698.692955000001</v>
      </c>
      <c r="P14" s="95">
        <f t="shared" si="1"/>
        <v>59.259344865748076</v>
      </c>
      <c r="Q14" s="383">
        <f t="shared" si="2"/>
        <v>8.234289371937805</v>
      </c>
      <c r="R14" s="383">
        <f t="shared" si="3"/>
        <v>1.3419661059020735</v>
      </c>
      <c r="S14" s="383">
        <f t="shared" si="4"/>
        <v>0.11482066807674857</v>
      </c>
      <c r="T14" s="383">
        <f>(M14/(L14*(1+Inflation!$E$12))-1)*100</f>
        <v>8.03457780019341</v>
      </c>
      <c r="U14" s="383">
        <f>(N14/(M14*(1+Inflation!$F$12))-1)*100</f>
        <v>0.30625361248715066</v>
      </c>
      <c r="V14" s="383">
        <f>(O14/(N14*(1+Inflation!$G$12))-1)*100</f>
        <v>-1.7044707724749752</v>
      </c>
    </row>
    <row r="15" spans="1:22" s="4" customFormat="1" ht="15" customHeight="1">
      <c r="A15" s="91" t="s">
        <v>203</v>
      </c>
      <c r="B15" s="81">
        <v>208.746134</v>
      </c>
      <c r="C15" s="81">
        <v>443.701522</v>
      </c>
      <c r="D15" s="81">
        <v>685</v>
      </c>
      <c r="E15" s="81">
        <v>831</v>
      </c>
      <c r="F15" s="81">
        <v>852</v>
      </c>
      <c r="G15" s="81">
        <v>1080</v>
      </c>
      <c r="H15" s="81">
        <v>1400</v>
      </c>
      <c r="I15" s="81">
        <v>1600</v>
      </c>
      <c r="J15" s="81">
        <v>1700</v>
      </c>
      <c r="K15" s="81">
        <v>1800</v>
      </c>
      <c r="L15" s="81">
        <v>2069.793156</v>
      </c>
      <c r="M15" s="81">
        <v>2236.216536</v>
      </c>
      <c r="N15" s="81">
        <v>2282.164097</v>
      </c>
      <c r="O15" s="81">
        <f>'[1]cotisations'!$H10/1000000</f>
        <v>2459.472616</v>
      </c>
      <c r="P15" s="81">
        <f t="shared" si="1"/>
        <v>18.931361049377966</v>
      </c>
      <c r="Q15" s="382">
        <f t="shared" si="2"/>
        <v>8.04218837971652</v>
      </c>
      <c r="R15" s="382">
        <f t="shared" si="3"/>
        <v>2.0551118271580497</v>
      </c>
      <c r="S15" s="382">
        <f t="shared" si="4"/>
        <v>7.7708689281777055</v>
      </c>
      <c r="T15" s="382">
        <f>(M15/(L15*(1+Inflation!$E$12))-1)*100</f>
        <v>7.842866693778761</v>
      </c>
      <c r="U15" s="382">
        <f>(N15/(M15*(1+Inflation!$F$12))-1)*100</f>
        <v>1.011971726757177</v>
      </c>
      <c r="V15" s="382">
        <f>(O15/(N15*(1+Inflation!$G$12))-1)*100</f>
        <v>5.810950042154928</v>
      </c>
    </row>
    <row r="16" spans="1:22" s="4" customFormat="1" ht="15" customHeight="1">
      <c r="A16" s="91" t="s">
        <v>84</v>
      </c>
      <c r="B16" s="141">
        <v>2696.613253</v>
      </c>
      <c r="C16" s="141">
        <v>2803.192716</v>
      </c>
      <c r="D16" s="141">
        <v>3351.772504</v>
      </c>
      <c r="E16" s="141">
        <v>3557.385829</v>
      </c>
      <c r="F16" s="141">
        <v>4354.368036</v>
      </c>
      <c r="G16" s="81">
        <v>2102.751652</v>
      </c>
      <c r="H16" s="81">
        <v>1358.326247</v>
      </c>
      <c r="I16" s="81">
        <v>2201.445997</v>
      </c>
      <c r="J16" s="81">
        <v>1462.597593</v>
      </c>
      <c r="K16" s="81">
        <v>1342.611218</v>
      </c>
      <c r="L16" s="81">
        <v>1392.270392667037</v>
      </c>
      <c r="M16" s="81">
        <v>2147.379299</v>
      </c>
      <c r="N16" s="81">
        <v>1495.384099</v>
      </c>
      <c r="O16" s="81">
        <f>'[1]cotisations'!$H11/1000000</f>
        <v>1640.245372</v>
      </c>
      <c r="P16" s="81">
        <f t="shared" si="1"/>
        <v>12.625502371888688</v>
      </c>
      <c r="Q16" s="382">
        <f t="shared" si="2"/>
        <v>54.24664146362057</v>
      </c>
      <c r="R16" s="382">
        <f t="shared" si="3"/>
        <v>-30.36844023520597</v>
      </c>
      <c r="S16" s="382">
        <f t="shared" si="4"/>
        <v>9.689165837157937</v>
      </c>
      <c r="T16" s="382">
        <f>(M16/(L16*(1+Inflation!$E$12))-1)*100</f>
        <v>53.9535437890587</v>
      </c>
      <c r="U16" s="382">
        <f>(N16/(M16*(1+Inflation!$F$12))-1)*100</f>
        <v>-31.073880206967218</v>
      </c>
      <c r="V16" s="382">
        <f>(O16/(N16*(1+Inflation!$G$12))-1)*100</f>
        <v>7.694011385109434</v>
      </c>
    </row>
    <row r="17" spans="1:22" s="4" customFormat="1" ht="15" customHeight="1">
      <c r="A17" s="91" t="s">
        <v>85</v>
      </c>
      <c r="B17" s="81">
        <v>187.469648</v>
      </c>
      <c r="C17" s="81">
        <v>218.132818</v>
      </c>
      <c r="D17" s="81">
        <v>398.632864</v>
      </c>
      <c r="E17" s="81">
        <v>265.532654</v>
      </c>
      <c r="F17" s="81">
        <v>147.652676</v>
      </c>
      <c r="G17" s="81">
        <v>79.006448</v>
      </c>
      <c r="H17" s="81">
        <v>141.369331</v>
      </c>
      <c r="I17" s="81">
        <v>205.714317</v>
      </c>
      <c r="J17" s="81">
        <v>318.321692</v>
      </c>
      <c r="K17" s="81">
        <v>203.98698</v>
      </c>
      <c r="L17" s="81">
        <v>225.61635</v>
      </c>
      <c r="M17" s="81">
        <v>215.109498</v>
      </c>
      <c r="N17" s="81">
        <v>239.835611</v>
      </c>
      <c r="O17" s="81">
        <f>'[1]cotisations'!$H12/1000000</f>
        <v>196.935381</v>
      </c>
      <c r="P17" s="81">
        <f t="shared" si="1"/>
        <v>1.5158757112617551</v>
      </c>
      <c r="Q17" s="382">
        <f t="shared" si="2"/>
        <v>-4.657886438815272</v>
      </c>
      <c r="R17" s="382">
        <f t="shared" si="3"/>
        <v>11.496962455186436</v>
      </c>
      <c r="S17" s="382">
        <f t="shared" si="4"/>
        <v>-17.890925316340947</v>
      </c>
      <c r="T17" s="382">
        <f>(M17/(L17*(1+Inflation!$E$12))-1)*100</f>
        <v>-4.831432209398178</v>
      </c>
      <c r="U17" s="382">
        <f>(N17/(M17*(1+Inflation!$F$12))-1)*100</f>
        <v>10.355482908029433</v>
      </c>
      <c r="V17" s="382">
        <f>(O17/(N17*(1+Inflation!$G$12))-1)*100</f>
        <v>-19.37948450762179</v>
      </c>
    </row>
    <row r="18" spans="1:22" s="4" customFormat="1" ht="15" customHeight="1">
      <c r="A18" s="91" t="s">
        <v>145</v>
      </c>
      <c r="B18" s="81">
        <v>1853.786557</v>
      </c>
      <c r="C18" s="81">
        <v>2495.0755990000002</v>
      </c>
      <c r="D18" s="81">
        <v>2151.004164</v>
      </c>
      <c r="E18" s="81">
        <v>3170.2701509999997</v>
      </c>
      <c r="F18" s="81">
        <v>3036.8059556</v>
      </c>
      <c r="G18" s="81">
        <v>2843.639299</v>
      </c>
      <c r="H18" s="81">
        <v>2601.514454</v>
      </c>
      <c r="I18" s="81">
        <v>2907.536617</v>
      </c>
      <c r="J18" s="81">
        <v>2877.947778</v>
      </c>
      <c r="K18" s="81">
        <v>2915.4586099999997</v>
      </c>
      <c r="L18" s="81">
        <v>3272.7234929300002</v>
      </c>
      <c r="M18" s="81">
        <v>2930.81607</v>
      </c>
      <c r="N18" s="81">
        <v>3613.797884</v>
      </c>
      <c r="O18" s="81">
        <f>SUM('[1]cotisations'!$H$13,'[1]cotisations'!$H$15:$H$16)/1000000</f>
        <v>3366.055551</v>
      </c>
      <c r="P18" s="81">
        <f t="shared" si="1"/>
        <v>25.909624906449412</v>
      </c>
      <c r="Q18" s="382">
        <f t="shared" si="2"/>
        <v>-10.44927275870846</v>
      </c>
      <c r="R18" s="382">
        <f t="shared" si="3"/>
        <v>23.308129682897516</v>
      </c>
      <c r="S18" s="382">
        <f t="shared" si="4"/>
        <v>-6.856827343988782</v>
      </c>
      <c r="T18" s="382">
        <f>(M18/(L18*(1+Inflation!$E$12))-1)*100</f>
        <v>-10.61106440298093</v>
      </c>
      <c r="U18" s="382">
        <f>(N18/(M18*(1+Inflation!$F$12))-1)*100</f>
        <v>22.043633611070113</v>
      </c>
      <c r="V18" s="382">
        <f>(O18/(N18*(1+Inflation!$G$12))-1)*100</f>
        <v>-8.54806250571981</v>
      </c>
    </row>
    <row r="19" spans="1:22" s="404" customFormat="1" ht="15" customHeight="1">
      <c r="A19" s="401" t="s">
        <v>252</v>
      </c>
      <c r="B19" s="402">
        <v>5.010841</v>
      </c>
      <c r="C19" s="402">
        <v>46.641857</v>
      </c>
      <c r="D19" s="402">
        <v>47.49519</v>
      </c>
      <c r="E19" s="402">
        <v>60.688655</v>
      </c>
      <c r="F19" s="402">
        <v>70.907535</v>
      </c>
      <c r="G19" s="402">
        <v>82.424944</v>
      </c>
      <c r="H19" s="402">
        <v>85.030972</v>
      </c>
      <c r="I19" s="402">
        <v>67.737302</v>
      </c>
      <c r="J19" s="402">
        <v>52.133909</v>
      </c>
      <c r="K19" s="402">
        <v>54.729207</v>
      </c>
      <c r="L19" s="402">
        <v>50.47261</v>
      </c>
      <c r="M19" s="402">
        <v>58.53498</v>
      </c>
      <c r="N19" s="402">
        <v>58.683475</v>
      </c>
      <c r="O19" s="402">
        <f>'[1]cotisations'!$H$14/1000000</f>
        <v>35.984035</v>
      </c>
      <c r="P19" s="402">
        <f t="shared" si="1"/>
        <v>0.27698082677024344</v>
      </c>
      <c r="Q19" s="403">
        <f t="shared" si="2"/>
        <v>15.976947643484237</v>
      </c>
      <c r="R19" s="403">
        <f t="shared" si="3"/>
        <v>0.253736652852722</v>
      </c>
      <c r="S19" s="403">
        <f t="shared" si="4"/>
        <v>-38.68888113391377</v>
      </c>
      <c r="T19" s="403">
        <f>(M19/(L19*(1+Inflation!$E$12))-1)*100</f>
        <v>15.761521667920908</v>
      </c>
      <c r="U19" s="403">
        <f>(N19/(M19*(1+Inflation!$F$12))-1)*100</f>
        <v>-0.7706416343167932</v>
      </c>
      <c r="V19" s="403">
        <f>(O19/(N19*(1+Inflation!$G$12))-1)*100</f>
        <v>-39.79542034592052</v>
      </c>
    </row>
    <row r="20" spans="1:24" ht="15" customHeight="1">
      <c r="A20" s="98" t="s">
        <v>41</v>
      </c>
      <c r="B20" s="99">
        <f aca="true" t="shared" si="8" ref="B20:M20">B5+B10</f>
        <v>8659.190842</v>
      </c>
      <c r="C20" s="99">
        <f t="shared" si="8"/>
        <v>10110.512375</v>
      </c>
      <c r="D20" s="99">
        <f t="shared" si="8"/>
        <v>10970.392757600066</v>
      </c>
      <c r="E20" s="99">
        <f t="shared" si="8"/>
        <v>12331.218444</v>
      </c>
      <c r="F20" s="99">
        <f t="shared" si="8"/>
        <v>12933.395693559998</v>
      </c>
      <c r="G20" s="99">
        <f t="shared" si="8"/>
        <v>10760.54393</v>
      </c>
      <c r="H20" s="99">
        <f t="shared" si="8"/>
        <v>10355.398682</v>
      </c>
      <c r="I20" s="99">
        <f t="shared" si="8"/>
        <v>12141.216591</v>
      </c>
      <c r="J20" s="99">
        <f t="shared" si="8"/>
        <v>12137.889643999999</v>
      </c>
      <c r="K20" s="99">
        <f t="shared" si="8"/>
        <v>12041.838831000001</v>
      </c>
      <c r="L20" s="99">
        <f t="shared" si="8"/>
        <v>12926.653270597038</v>
      </c>
      <c r="M20" s="99">
        <f t="shared" si="8"/>
        <v>13638.47321</v>
      </c>
      <c r="N20" s="99">
        <f>N5+N10</f>
        <v>13895.172088</v>
      </c>
      <c r="O20" s="99">
        <f>O5+O10</f>
        <v>12994.123899000002</v>
      </c>
      <c r="P20" s="99">
        <f t="shared" si="1"/>
        <v>100.02</v>
      </c>
      <c r="Q20" s="384">
        <f t="shared" si="2"/>
        <v>5.507707900004338</v>
      </c>
      <c r="R20" s="384">
        <f t="shared" si="3"/>
        <v>1.882543696953889</v>
      </c>
      <c r="S20" s="384">
        <f t="shared" si="4"/>
        <v>-6.485910307049069</v>
      </c>
      <c r="T20" s="384">
        <f>(M20/(L20*(1+Inflation!$E$12))-1)*100</f>
        <v>5.313530164417046</v>
      </c>
      <c r="U20" s="384">
        <f>(N20/(M20*(1+Inflation!$F$12))-1)*100</f>
        <v>0.8412009406458809</v>
      </c>
      <c r="V20" s="384">
        <f>(O20/(N20*(1+Inflation!$G$12))-1)*100</f>
        <v>-8.183958528679202</v>
      </c>
      <c r="X20" s="389"/>
    </row>
    <row r="21" spans="1:18" ht="11.25">
      <c r="A21" s="415"/>
      <c r="B21" s="415"/>
      <c r="C21" s="415"/>
      <c r="D21" s="415"/>
      <c r="E21" s="415"/>
      <c r="F21" s="415"/>
      <c r="G21" s="415"/>
      <c r="H21" s="415"/>
      <c r="I21" s="415"/>
      <c r="J21" s="415"/>
      <c r="K21" s="415"/>
      <c r="L21" s="415"/>
      <c r="M21" s="415"/>
      <c r="N21" s="415"/>
      <c r="O21" s="415"/>
      <c r="P21" s="415"/>
      <c r="R21" s="4"/>
    </row>
    <row r="22" spans="1:18" ht="11.25">
      <c r="A22" s="14"/>
      <c r="B22" s="14"/>
      <c r="C22" s="14"/>
      <c r="D22" s="14"/>
      <c r="E22" s="14"/>
      <c r="F22" s="14"/>
      <c r="G22" s="14"/>
      <c r="H22" s="14"/>
      <c r="I22" s="14"/>
      <c r="J22" s="14"/>
      <c r="K22" s="14"/>
      <c r="L22" s="14"/>
      <c r="M22" s="14"/>
      <c r="N22" s="14"/>
      <c r="O22" s="14"/>
      <c r="P22" s="14"/>
      <c r="R22" s="4"/>
    </row>
    <row r="23" spans="14:15" ht="11.25">
      <c r="N23" s="36"/>
      <c r="O23" s="36"/>
    </row>
    <row r="27" spans="4:6" ht="11.25">
      <c r="D27" s="4"/>
      <c r="E27" s="76"/>
      <c r="F27" s="4"/>
    </row>
    <row r="28" spans="3:13" ht="11.25">
      <c r="C28" s="136"/>
      <c r="D28" s="136"/>
      <c r="E28" s="136"/>
      <c r="F28" s="136"/>
      <c r="G28" s="136"/>
      <c r="H28" s="136"/>
      <c r="I28" s="136"/>
      <c r="J28" s="136"/>
      <c r="K28" s="136"/>
      <c r="L28" s="136"/>
      <c r="M28" s="136"/>
    </row>
    <row r="29" spans="3:13" ht="12.75">
      <c r="C29" s="85"/>
      <c r="D29" s="85"/>
      <c r="E29" s="85"/>
      <c r="F29" s="85"/>
      <c r="G29" s="85"/>
      <c r="H29" s="85"/>
      <c r="I29" s="85"/>
      <c r="J29" s="85"/>
      <c r="K29" s="85"/>
      <c r="L29" s="85"/>
      <c r="M29" s="85"/>
    </row>
    <row r="30" spans="3:13" ht="11.25">
      <c r="C30" s="59"/>
      <c r="D30" s="59"/>
      <c r="E30" s="59"/>
      <c r="F30" s="59"/>
      <c r="G30" s="59"/>
      <c r="H30" s="59"/>
      <c r="I30" s="59"/>
      <c r="J30" s="59"/>
      <c r="K30" s="59"/>
      <c r="L30" s="133"/>
      <c r="M30" s="133"/>
    </row>
    <row r="31" ht="11.25">
      <c r="B31" s="72"/>
    </row>
    <row r="32" ht="11.25">
      <c r="B32" s="72"/>
    </row>
    <row r="33" spans="2:3" ht="11.25">
      <c r="B33" s="72"/>
      <c r="C33" s="4"/>
    </row>
    <row r="34" spans="2:3" ht="11.25">
      <c r="B34" s="72"/>
      <c r="C34" s="4"/>
    </row>
    <row r="35" spans="2:3" ht="11.25">
      <c r="B35" s="72"/>
      <c r="C35" s="4"/>
    </row>
    <row r="36" spans="2:3" ht="11.25">
      <c r="B36" s="72"/>
      <c r="C36" s="4"/>
    </row>
    <row r="37" spans="2:3" ht="11.25">
      <c r="B37" s="72"/>
      <c r="C37" s="4"/>
    </row>
    <row r="38" spans="2:3" ht="11.25">
      <c r="B38" s="72"/>
      <c r="C38" s="4"/>
    </row>
    <row r="39" spans="2:3" ht="11.25">
      <c r="B39" s="72"/>
      <c r="C39" s="4"/>
    </row>
    <row r="40" spans="2:3" ht="11.25">
      <c r="B40" s="72"/>
      <c r="C40" s="4"/>
    </row>
    <row r="41" spans="2:3" ht="11.25">
      <c r="B41" s="72"/>
      <c r="C41" s="4"/>
    </row>
    <row r="45" ht="11.25">
      <c r="C45" s="4"/>
    </row>
    <row r="46" ht="11.25">
      <c r="C46" s="4"/>
    </row>
    <row r="48" spans="2:3" ht="11.25">
      <c r="B48" s="72"/>
      <c r="C48" s="4"/>
    </row>
    <row r="49" spans="2:3" ht="11.25">
      <c r="B49" s="72"/>
      <c r="C49" s="4"/>
    </row>
    <row r="50" spans="2:3" ht="11.25">
      <c r="B50" s="72"/>
      <c r="C50" s="4"/>
    </row>
    <row r="51" spans="2:3" ht="11.25">
      <c r="B51" s="72"/>
      <c r="C51" s="4"/>
    </row>
    <row r="52" spans="2:3" ht="11.25">
      <c r="B52" s="72"/>
      <c r="C52" s="4"/>
    </row>
    <row r="53" spans="2:3" ht="11.25">
      <c r="B53" s="72"/>
      <c r="C53" s="4"/>
    </row>
    <row r="54" spans="2:3" ht="11.25">
      <c r="B54" s="72"/>
      <c r="C54" s="4"/>
    </row>
    <row r="55" spans="2:3" ht="11.25">
      <c r="B55" s="72"/>
      <c r="C55" s="4"/>
    </row>
    <row r="56" spans="2:3" ht="11.25">
      <c r="B56" s="72"/>
      <c r="C56" s="4"/>
    </row>
    <row r="57" spans="2:3" ht="11.25">
      <c r="B57" s="72"/>
      <c r="C57" s="4"/>
    </row>
  </sheetData>
  <sheetProtection/>
  <mergeCells count="5">
    <mergeCell ref="A21:P21"/>
    <mergeCell ref="A3:A4"/>
    <mergeCell ref="Q3:S3"/>
    <mergeCell ref="T3:V3"/>
    <mergeCell ref="B3:O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2.75"/>
  <cols>
    <col min="1" max="1" width="19.57421875" style="0" customWidth="1"/>
    <col min="5" max="5" width="16.8515625" style="0" customWidth="1"/>
    <col min="8" max="9" width="13.140625" style="0" bestFit="1" customWidth="1"/>
  </cols>
  <sheetData>
    <row r="1" ht="12.75">
      <c r="A1" s="335" t="s">
        <v>189</v>
      </c>
    </row>
    <row r="2" spans="1:6" ht="12.75">
      <c r="A2" t="s">
        <v>185</v>
      </c>
      <c r="E2" t="s">
        <v>190</v>
      </c>
      <c r="F2" t="s">
        <v>191</v>
      </c>
    </row>
    <row r="3" ht="12.75">
      <c r="A3" t="s">
        <v>186</v>
      </c>
    </row>
    <row r="4" ht="12.75">
      <c r="A4" t="s">
        <v>187</v>
      </c>
    </row>
    <row r="5" ht="12.75">
      <c r="A5" t="s">
        <v>188</v>
      </c>
    </row>
    <row r="7" spans="2:10" ht="12.75">
      <c r="B7">
        <v>2013</v>
      </c>
      <c r="C7">
        <v>2014</v>
      </c>
      <c r="D7">
        <v>2015</v>
      </c>
      <c r="E7">
        <v>2016</v>
      </c>
      <c r="F7">
        <v>2017</v>
      </c>
      <c r="G7">
        <v>2018</v>
      </c>
      <c r="H7" s="387"/>
      <c r="I7" s="387"/>
      <c r="J7" s="387"/>
    </row>
    <row r="8" spans="1:7" ht="12.75">
      <c r="A8" t="s">
        <v>192</v>
      </c>
      <c r="B8" s="337">
        <v>99.8</v>
      </c>
      <c r="C8" s="337">
        <v>99.86</v>
      </c>
      <c r="D8" s="337">
        <v>100.04</v>
      </c>
      <c r="E8" s="337">
        <v>100.65</v>
      </c>
      <c r="F8" s="337">
        <v>101.85</v>
      </c>
      <c r="G8">
        <f>F8*(1+G9)</f>
        <v>103.46999999999998</v>
      </c>
    </row>
    <row r="9" spans="1:7" ht="12.75">
      <c r="A9" t="s">
        <v>193</v>
      </c>
      <c r="C9" s="336">
        <f>C8/B8-1</f>
        <v>0.0006012024048096531</v>
      </c>
      <c r="D9" s="336">
        <f>D8/C8-1</f>
        <v>0.0018025235329461875</v>
      </c>
      <c r="E9" s="336">
        <f>E8/D8-1</f>
        <v>0.0060975609756097615</v>
      </c>
      <c r="F9" s="336">
        <f>F8/E8-1</f>
        <v>0.011922503725782407</v>
      </c>
      <c r="G9" s="336">
        <v>0.01590574374079523</v>
      </c>
    </row>
    <row r="11" spans="1:7" ht="12.75">
      <c r="A11" s="87" t="s">
        <v>194</v>
      </c>
      <c r="B11" s="337">
        <v>99.45666666666666</v>
      </c>
      <c r="C11" s="337">
        <v>99.96166666666664</v>
      </c>
      <c r="D11" s="337">
        <v>99.99916666666667</v>
      </c>
      <c r="E11" s="337">
        <v>100.1825</v>
      </c>
      <c r="F11" s="337">
        <v>101.21666666666665</v>
      </c>
      <c r="G11">
        <f>F11*(1+G12)</f>
        <v>103.08999999999999</v>
      </c>
    </row>
    <row r="12" spans="1:7" ht="12.75">
      <c r="A12" s="87" t="s">
        <v>195</v>
      </c>
      <c r="C12" s="336">
        <f>C11/B11-1</f>
        <v>0.005077588229379426</v>
      </c>
      <c r="D12" s="336">
        <f>D11/C11-1</f>
        <v>0.00037514380512559953</v>
      </c>
      <c r="E12" s="336">
        <f>E11/D11-1</f>
        <v>0.0018333486112385167</v>
      </c>
      <c r="F12" s="336">
        <f>F11/E11-1</f>
        <v>0.010322827506467291</v>
      </c>
      <c r="G12" s="336">
        <v>0.01850815083154944</v>
      </c>
    </row>
    <row r="21" ht="12.75">
      <c r="E21" s="87"/>
    </row>
    <row r="22" ht="12.75">
      <c r="E22" s="8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Y57"/>
  <sheetViews>
    <sheetView zoomScalePageLayoutView="0" workbookViewId="0" topLeftCell="A1">
      <pane xSplit="1" topLeftCell="B1" activePane="topRight" state="frozen"/>
      <selection pane="topLeft" activeCell="A7" sqref="A7"/>
      <selection pane="topRight" activeCell="U10" sqref="U10"/>
    </sheetView>
  </sheetViews>
  <sheetFormatPr defaultColWidth="11.421875" defaultRowHeight="12.75"/>
  <cols>
    <col min="1" max="1" width="56.28125" style="2" customWidth="1"/>
    <col min="2" max="2" width="6.140625" style="2" customWidth="1"/>
    <col min="3" max="3" width="6.8515625" style="2" customWidth="1"/>
    <col min="4" max="13" width="6.7109375" style="2" customWidth="1"/>
    <col min="14" max="15" width="7.00390625" style="2" customWidth="1"/>
    <col min="16" max="16" width="11.00390625" style="2" customWidth="1"/>
    <col min="17" max="18" width="9.57421875" style="2" customWidth="1"/>
    <col min="19" max="19" width="10.140625" style="36" customWidth="1"/>
    <col min="20" max="21" width="10.140625" style="2" customWidth="1"/>
    <col min="22" max="24" width="9.7109375" style="2" customWidth="1"/>
    <col min="25" max="25" width="10.57421875" style="2" customWidth="1"/>
    <col min="26" max="16384" width="11.421875" style="2" customWidth="1"/>
  </cols>
  <sheetData>
    <row r="1" spans="1:3" ht="11.25">
      <c r="A1" s="1" t="s">
        <v>172</v>
      </c>
      <c r="B1" s="1"/>
      <c r="C1" s="1"/>
    </row>
    <row r="3" spans="1:25" ht="63.75" customHeight="1">
      <c r="A3" s="417"/>
      <c r="B3" s="424" t="s">
        <v>161</v>
      </c>
      <c r="C3" s="425"/>
      <c r="D3" s="425"/>
      <c r="E3" s="425"/>
      <c r="F3" s="425"/>
      <c r="G3" s="425"/>
      <c r="H3" s="425"/>
      <c r="I3" s="425"/>
      <c r="J3" s="425"/>
      <c r="K3" s="425"/>
      <c r="L3" s="425"/>
      <c r="M3" s="425"/>
      <c r="N3" s="425"/>
      <c r="O3" s="428"/>
      <c r="P3" s="242" t="s">
        <v>162</v>
      </c>
      <c r="Q3" s="424" t="s">
        <v>163</v>
      </c>
      <c r="R3" s="425"/>
      <c r="S3" s="426"/>
      <c r="T3" s="424" t="s">
        <v>164</v>
      </c>
      <c r="U3" s="425"/>
      <c r="V3" s="426"/>
      <c r="W3" s="424" t="s">
        <v>165</v>
      </c>
      <c r="X3" s="425"/>
      <c r="Y3" s="426"/>
    </row>
    <row r="4" spans="1:25" ht="25.5" customHeight="1">
      <c r="A4" s="427"/>
      <c r="B4" s="242">
        <v>2005</v>
      </c>
      <c r="C4" s="242">
        <v>2006</v>
      </c>
      <c r="D4" s="242">
        <v>2007</v>
      </c>
      <c r="E4" s="242">
        <v>2008</v>
      </c>
      <c r="F4" s="242">
        <v>2009</v>
      </c>
      <c r="G4" s="242">
        <v>2010</v>
      </c>
      <c r="H4" s="242">
        <v>2011</v>
      </c>
      <c r="I4" s="242">
        <v>2012</v>
      </c>
      <c r="J4" s="242">
        <v>2013</v>
      </c>
      <c r="K4" s="242">
        <v>2014</v>
      </c>
      <c r="L4" s="242">
        <v>2015</v>
      </c>
      <c r="M4" s="242">
        <v>2016</v>
      </c>
      <c r="N4" s="242">
        <v>2017</v>
      </c>
      <c r="O4" s="378">
        <v>2018</v>
      </c>
      <c r="P4" s="242">
        <v>2018</v>
      </c>
      <c r="Q4" s="378" t="s">
        <v>135</v>
      </c>
      <c r="R4" s="378" t="s">
        <v>166</v>
      </c>
      <c r="S4" s="378" t="s">
        <v>211</v>
      </c>
      <c r="T4" s="378" t="s">
        <v>135</v>
      </c>
      <c r="U4" s="378" t="s">
        <v>166</v>
      </c>
      <c r="V4" s="378" t="s">
        <v>211</v>
      </c>
      <c r="W4" s="378" t="s">
        <v>103</v>
      </c>
      <c r="X4" s="378" t="s">
        <v>104</v>
      </c>
      <c r="Y4" s="378" t="s">
        <v>105</v>
      </c>
    </row>
    <row r="5" spans="1:25" ht="25.5" customHeight="1">
      <c r="A5" s="100" t="s">
        <v>197</v>
      </c>
      <c r="B5" s="243">
        <f aca="true" t="shared" si="0" ref="B5:J5">SUM(B6:B9)</f>
        <v>483.469995</v>
      </c>
      <c r="C5" s="243">
        <f t="shared" si="0"/>
        <v>1083.979204</v>
      </c>
      <c r="D5" s="243">
        <f t="shared" si="0"/>
        <v>735.6060050000001</v>
      </c>
      <c r="E5" s="243">
        <f t="shared" si="0"/>
        <v>1166.7243520000002</v>
      </c>
      <c r="F5" s="244">
        <f t="shared" si="0"/>
        <v>1271.7028662000002</v>
      </c>
      <c r="G5" s="244">
        <f t="shared" si="0"/>
        <v>1386.3337840000002</v>
      </c>
      <c r="H5" s="244">
        <f>SUM(H6:H9)</f>
        <v>1454.274001</v>
      </c>
      <c r="I5" s="244">
        <f>SUM(I6:I9)</f>
        <v>1540.849699</v>
      </c>
      <c r="J5" s="244">
        <f t="shared" si="0"/>
        <v>1585.450443</v>
      </c>
      <c r="K5" s="244">
        <f>SUM(K6:K9)</f>
        <v>1648.326853</v>
      </c>
      <c r="L5" s="244">
        <f>SUM(L6:L9)</f>
        <v>1668.2598560000001</v>
      </c>
      <c r="M5" s="244">
        <f>SUM(M6:M9)</f>
        <v>1757.5246630000001</v>
      </c>
      <c r="N5" s="244">
        <f>SUM(N6:N9)</f>
        <v>1880.0712239999998</v>
      </c>
      <c r="O5" s="244">
        <f>SUM(O6:O9)</f>
        <v>2011.527651</v>
      </c>
      <c r="P5" s="245">
        <f>O5/$O$20*100</f>
        <v>26.280815167925542</v>
      </c>
      <c r="Q5" s="339">
        <f>(M5/L5-1)*100</f>
        <v>5.350773542799914</v>
      </c>
      <c r="R5" s="339">
        <f>(N5/M5-1)*100</f>
        <v>6.972679449676633</v>
      </c>
      <c r="S5" s="339">
        <f>(O5/N5-1)*100</f>
        <v>6.992098241912159</v>
      </c>
      <c r="T5" s="339">
        <f>(M5/(L5*(1+Inflation!$E$12))-1)*100</f>
        <v>5.157982301985942</v>
      </c>
      <c r="U5" s="339">
        <f>(N5/(M5*(1+Inflation!$F$12))-1)*100</f>
        <v>5.8797015540974495</v>
      </c>
      <c r="V5" s="339">
        <f>(O5/(N5*(1+Inflation!$G$12))-1)*100</f>
        <v>5.0478566662030655</v>
      </c>
      <c r="W5" s="245">
        <f>SUM('[1]rentes_vfu_sk'!C$4:C$7)/SUM('[1]rentes_vfu_sk'!$C$4:$E$7)*100</f>
        <v>76.91872792967295</v>
      </c>
      <c r="X5" s="245">
        <f>SUM('[1]rentes_vfu_sk'!D$4:D$7)/SUM('[1]rentes_vfu_sk'!$C$4:$E$7)*100</f>
        <v>19.823606137100768</v>
      </c>
      <c r="Y5" s="245">
        <f>SUM('[1]rentes_vfu_sk'!E$4:E$7)/SUM('[1]rentes_vfu_sk'!$C$4:$E$7)*100</f>
        <v>3.2576659332262587</v>
      </c>
    </row>
    <row r="6" spans="1:25" ht="15" customHeight="1">
      <c r="A6" s="89" t="s">
        <v>63</v>
      </c>
      <c r="B6" s="201">
        <v>2</v>
      </c>
      <c r="C6" s="201">
        <v>11.085053</v>
      </c>
      <c r="D6" s="201">
        <v>18.000798</v>
      </c>
      <c r="E6" s="246">
        <v>39</v>
      </c>
      <c r="F6" s="247">
        <v>50.869359</v>
      </c>
      <c r="G6" s="247">
        <v>84.157838</v>
      </c>
      <c r="H6" s="247">
        <v>117.384898</v>
      </c>
      <c r="I6" s="247">
        <v>157.467723</v>
      </c>
      <c r="J6" s="247">
        <v>173.486908</v>
      </c>
      <c r="K6" s="247">
        <v>191.763079</v>
      </c>
      <c r="L6" s="247">
        <v>239.234992</v>
      </c>
      <c r="M6" s="247">
        <v>304.020456</v>
      </c>
      <c r="N6" s="247">
        <v>415.587087</v>
      </c>
      <c r="O6" s="247">
        <f>'[1]prestations'!$H4/1000000</f>
        <v>506.877861</v>
      </c>
      <c r="P6" s="248">
        <f aca="true" t="shared" si="1" ref="P6:P20">O6/$O$20*100</f>
        <v>6.622411265901337</v>
      </c>
      <c r="Q6" s="340">
        <f aca="true" t="shared" si="2" ref="Q6:Q20">(M6/L6-1)*100</f>
        <v>27.08026257296008</v>
      </c>
      <c r="R6" s="340">
        <f aca="true" t="shared" si="3" ref="R6:R20">(N6/M6-1)*100</f>
        <v>36.69708034383055</v>
      </c>
      <c r="S6" s="340">
        <f aca="true" t="shared" si="4" ref="S6:S20">(O6/N6-1)*100</f>
        <v>21.966701289734726</v>
      </c>
      <c r="T6" s="340">
        <f>(M6/(L6*(1+Inflation!$E$12))-1)*100</f>
        <v>26.847706506397785</v>
      </c>
      <c r="U6" s="340">
        <f>(N6/(M6*(1+Inflation!$F$12))-1)*100</f>
        <v>35.30039767705389</v>
      </c>
      <c r="V6" s="340">
        <f>(O6/(N6*(1+Inflation!$G$12))-1)*100</f>
        <v>19.750343863381346</v>
      </c>
      <c r="W6" s="248">
        <f>'[1]rentes_vfu_sk'!C4/SUM('[1]rentes_vfu_sk'!$C4:$E4)*100</f>
        <v>12.964276635240918</v>
      </c>
      <c r="X6" s="248">
        <f>'[1]rentes_vfu_sk'!D4/SUM('[1]rentes_vfu_sk'!$C4:$E4)*100</f>
        <v>77.8884587885196</v>
      </c>
      <c r="Y6" s="248">
        <f>'[1]rentes_vfu_sk'!E4/SUM('[1]rentes_vfu_sk'!$C4:$E4)*100</f>
        <v>9.147264576239476</v>
      </c>
    </row>
    <row r="7" spans="1:25" ht="22.5">
      <c r="A7" s="90" t="s">
        <v>198</v>
      </c>
      <c r="B7" s="202">
        <v>481.469995</v>
      </c>
      <c r="C7" s="202">
        <v>509.629679</v>
      </c>
      <c r="D7" s="202">
        <v>540.625989</v>
      </c>
      <c r="E7" s="249">
        <v>583.603418</v>
      </c>
      <c r="F7" s="250">
        <v>636.00733</v>
      </c>
      <c r="G7" s="250">
        <v>688.404337</v>
      </c>
      <c r="H7" s="250">
        <v>738.943242</v>
      </c>
      <c r="I7" s="250">
        <v>789.771491</v>
      </c>
      <c r="J7" s="250">
        <v>824.023222</v>
      </c>
      <c r="K7" s="250">
        <v>875.65939</v>
      </c>
      <c r="L7" s="250">
        <v>859.01303</v>
      </c>
      <c r="M7" s="250">
        <v>887.59306</v>
      </c>
      <c r="N7" s="250">
        <v>926.04313</v>
      </c>
      <c r="O7" s="250">
        <f>'[1]prestations'!$H5/1000000</f>
        <v>983.018432</v>
      </c>
      <c r="P7" s="251">
        <f t="shared" si="1"/>
        <v>12.84323668392664</v>
      </c>
      <c r="Q7" s="341">
        <f t="shared" si="2"/>
        <v>3.3270775881013126</v>
      </c>
      <c r="R7" s="341">
        <f t="shared" si="3"/>
        <v>4.331948021315091</v>
      </c>
      <c r="S7" s="341">
        <f t="shared" si="4"/>
        <v>6.152553823276019</v>
      </c>
      <c r="T7" s="341">
        <f>(M7/(L7*(1+Inflation!$E$12))-1)*100</f>
        <v>3.137989697922694</v>
      </c>
      <c r="U7" s="341">
        <f>(N7/(M7*(1+Inflation!$F$12))-1)*100</f>
        <v>3.26595141754058</v>
      </c>
      <c r="V7" s="341">
        <f>(O7/(N7*(1+Inflation!$G$12))-1)*100</f>
        <v>4.223568300959557</v>
      </c>
      <c r="W7" s="251">
        <f>'[1]rentes_vfu_sk'!C5/SUM('[1]rentes_vfu_sk'!$C5:$E5)*100</f>
        <v>97.67486038349278</v>
      </c>
      <c r="X7" s="251">
        <f>'[1]rentes_vfu_sk'!D5/SUM('[1]rentes_vfu_sk'!$C5:$E5)*100</f>
        <v>0.3756958038402275</v>
      </c>
      <c r="Y7" s="251">
        <f>'[1]rentes_vfu_sk'!E5/SUM('[1]rentes_vfu_sk'!$C5:$E5)*100</f>
        <v>1.9494438126669837</v>
      </c>
    </row>
    <row r="8" spans="1:25" ht="15" customHeight="1">
      <c r="A8" s="90" t="s">
        <v>0</v>
      </c>
      <c r="B8" s="202"/>
      <c r="C8" s="202">
        <v>563.264472</v>
      </c>
      <c r="D8" s="202">
        <v>176.979218</v>
      </c>
      <c r="E8" s="249">
        <v>544.120934</v>
      </c>
      <c r="F8" s="250">
        <v>584.8261772000001</v>
      </c>
      <c r="G8" s="250">
        <v>597.095846</v>
      </c>
      <c r="H8" s="250">
        <v>580.920044</v>
      </c>
      <c r="I8" s="250">
        <v>576.999324</v>
      </c>
      <c r="J8" s="250">
        <v>572.573345</v>
      </c>
      <c r="K8" s="250">
        <v>565.315372</v>
      </c>
      <c r="L8" s="250">
        <v>554.950359</v>
      </c>
      <c r="M8" s="250">
        <v>545.705406</v>
      </c>
      <c r="N8" s="250">
        <v>520.070663</v>
      </c>
      <c r="O8" s="250">
        <f>'[1]prestations'!$H6/1000000</f>
        <v>504.2052</v>
      </c>
      <c r="P8" s="251">
        <f t="shared" si="1"/>
        <v>6.58749267568827</v>
      </c>
      <c r="Q8" s="341">
        <f t="shared" si="2"/>
        <v>-1.6659063013598319</v>
      </c>
      <c r="R8" s="341">
        <f t="shared" si="3"/>
        <v>-4.697542431895951</v>
      </c>
      <c r="S8" s="341">
        <f t="shared" si="4"/>
        <v>-3.0506360248203412</v>
      </c>
      <c r="T8" s="341">
        <f>(M8/(L8*(1+Inflation!$E$12))-1)*100</f>
        <v>-1.8458570630006998</v>
      </c>
      <c r="U8" s="341">
        <f>(N8/(M8*(1+Inflation!$F$12))-1)*100</f>
        <v>-5.671281521654025</v>
      </c>
      <c r="V8" s="341">
        <f>(O8/(N8*(1+Inflation!$G$12))-1)*100</f>
        <v>-4.812382801230952</v>
      </c>
      <c r="W8" s="251">
        <f>'[1]rentes_vfu_sk'!C6/SUM('[1]rentes_vfu_sk'!$C6:$E6)*100</f>
        <v>100</v>
      </c>
      <c r="X8" s="251">
        <f>'[1]rentes_vfu_sk'!D6/SUM('[1]rentes_vfu_sk'!$C6:$E6)*100</f>
        <v>0</v>
      </c>
      <c r="Y8" s="251">
        <f>'[1]rentes_vfu_sk'!E6/SUM('[1]rentes_vfu_sk'!$C6:$E6)*100</f>
        <v>0</v>
      </c>
    </row>
    <row r="9" spans="1:25" ht="15" customHeight="1">
      <c r="A9" s="91" t="s">
        <v>65</v>
      </c>
      <c r="B9" s="252"/>
      <c r="C9" s="252"/>
      <c r="D9" s="252"/>
      <c r="E9" s="253"/>
      <c r="F9" s="254"/>
      <c r="G9" s="254">
        <v>16.675763</v>
      </c>
      <c r="H9" s="254">
        <v>17.025817</v>
      </c>
      <c r="I9" s="254">
        <v>16.611161</v>
      </c>
      <c r="J9" s="254">
        <v>15.366968</v>
      </c>
      <c r="K9" s="254">
        <v>15.589012</v>
      </c>
      <c r="L9" s="254">
        <v>15.061475</v>
      </c>
      <c r="M9" s="254">
        <v>20.205741</v>
      </c>
      <c r="N9" s="250">
        <v>18.370344</v>
      </c>
      <c r="O9" s="250">
        <f>'[1]prestations'!$H7/1000000</f>
        <v>17.426158</v>
      </c>
      <c r="P9" s="251">
        <f t="shared" si="1"/>
        <v>0.22767454240929402</v>
      </c>
      <c r="Q9" s="341">
        <f t="shared" si="2"/>
        <v>34.155127568847</v>
      </c>
      <c r="R9" s="341">
        <f t="shared" si="3"/>
        <v>-9.083542147749002</v>
      </c>
      <c r="S9" s="341">
        <f t="shared" si="4"/>
        <v>-5.139729555418226</v>
      </c>
      <c r="T9" s="341">
        <f>(M9/(L9*(1+Inflation!$E$12))-1)*100</f>
        <v>33.9096245446566</v>
      </c>
      <c r="U9" s="341">
        <f>(N9/(M9*(1+Inflation!$F$12))-1)*100</f>
        <v>-10.012467919152279</v>
      </c>
      <c r="V9" s="341">
        <f>(O9/(N9*(1+Inflation!$G$12))-1)*100</f>
        <v>-6.863513691928547</v>
      </c>
      <c r="W9" s="251">
        <f>'[1]rentes_vfu_sk'!C7/SUM('[1]rentes_vfu_sk'!$C7:$E7)*100</f>
        <v>98.48041088575003</v>
      </c>
      <c r="X9" s="251">
        <f>'[1]rentes_vfu_sk'!D7/SUM('[1]rentes_vfu_sk'!$C7:$E7)*100</f>
        <v>1.5195891142499685</v>
      </c>
      <c r="Y9" s="251">
        <f>'[1]rentes_vfu_sk'!E7/SUM('[1]rentes_vfu_sk'!$C7:$E7)*100</f>
        <v>0</v>
      </c>
    </row>
    <row r="10" spans="1:25" ht="26.25" customHeight="1">
      <c r="A10" s="100" t="s">
        <v>199</v>
      </c>
      <c r="B10" s="255">
        <f aca="true" t="shared" si="5" ref="B10:J10">B11+B14</f>
        <v>3735.3643789999996</v>
      </c>
      <c r="C10" s="255">
        <f t="shared" si="5"/>
        <v>3989.107355</v>
      </c>
      <c r="D10" s="255">
        <f t="shared" si="5"/>
        <v>3998.9149810000004</v>
      </c>
      <c r="E10" s="256">
        <f t="shared" si="5"/>
        <v>4873.600074000001</v>
      </c>
      <c r="F10" s="244">
        <f t="shared" si="5"/>
        <v>4576.413752</v>
      </c>
      <c r="G10" s="244">
        <f t="shared" si="5"/>
        <v>3996.0670400000004</v>
      </c>
      <c r="H10" s="244">
        <f>H11+H14</f>
        <v>3583.4979670000002</v>
      </c>
      <c r="I10" s="244">
        <f>I11+I14</f>
        <v>3750.528331</v>
      </c>
      <c r="J10" s="244">
        <f t="shared" si="5"/>
        <v>4047.961158000001</v>
      </c>
      <c r="K10" s="244">
        <f>K11+K14</f>
        <v>4010.603829</v>
      </c>
      <c r="L10" s="244">
        <f>L11+L14</f>
        <v>4004.397184679532</v>
      </c>
      <c r="M10" s="244">
        <f>M11+M14</f>
        <v>4332.308241999999</v>
      </c>
      <c r="N10" s="244">
        <f>N11+N14</f>
        <v>4716.79588</v>
      </c>
      <c r="O10" s="244">
        <f>O11+O14</f>
        <v>5642.44973953</v>
      </c>
      <c r="P10" s="245">
        <f t="shared" si="1"/>
        <v>73.71918483207446</v>
      </c>
      <c r="Q10" s="339">
        <f t="shared" si="2"/>
        <v>8.18877454451885</v>
      </c>
      <c r="R10" s="339">
        <f t="shared" si="3"/>
        <v>8.874891086293136</v>
      </c>
      <c r="S10" s="339">
        <f t="shared" si="4"/>
        <v>19.624632548864952</v>
      </c>
      <c r="T10" s="339">
        <f>(M10/(L10*(1+Inflation!$E$12))-1)*100</f>
        <v>7.990789780049057</v>
      </c>
      <c r="U10" s="339">
        <f>(N10/(M10*(1+Inflation!$F$12))-1)*100</f>
        <v>7.762477618171215</v>
      </c>
      <c r="V10" s="339">
        <f>(O10/(N10*(1+Inflation!$G$12))-1)*100</f>
        <v>17.450834783402346</v>
      </c>
      <c r="W10" s="245">
        <f>SUM('[1]rentes_vfu_sk'!C$8:C$16)/SUM('[1]rentes_vfu_sk'!$C$8:$E$16)*100</f>
        <v>81.32386553333765</v>
      </c>
      <c r="X10" s="245">
        <f>SUM('[1]rentes_vfu_sk'!D$8:D$16)/SUM('[1]rentes_vfu_sk'!$C$8:$E$16)*100</f>
        <v>5.803877454335444</v>
      </c>
      <c r="Y10" s="245">
        <f>SUM('[1]rentes_vfu_sk'!E$8:E$16)/SUM('[1]rentes_vfu_sk'!$C$8:$E$16)*100</f>
        <v>12.872257012326896</v>
      </c>
    </row>
    <row r="11" spans="1:25" ht="15" customHeight="1">
      <c r="A11" s="102" t="s">
        <v>200</v>
      </c>
      <c r="B11" s="257">
        <f aca="true" t="shared" si="6" ref="B11:J11">SUM(B12:B13)</f>
        <v>316.554531</v>
      </c>
      <c r="C11" s="257">
        <f t="shared" si="6"/>
        <v>444.85776100000004</v>
      </c>
      <c r="D11" s="257">
        <f t="shared" si="6"/>
        <v>534.191463</v>
      </c>
      <c r="E11" s="258">
        <f t="shared" si="6"/>
        <v>203.02850800000002</v>
      </c>
      <c r="F11" s="259">
        <f t="shared" si="6"/>
        <v>225.777986</v>
      </c>
      <c r="G11" s="259">
        <f t="shared" si="6"/>
        <v>255.471453</v>
      </c>
      <c r="H11" s="259">
        <f>SUM(H12:H13)</f>
        <v>288.62022</v>
      </c>
      <c r="I11" s="259">
        <f>SUM(I12:I13)</f>
        <v>332.135555</v>
      </c>
      <c r="J11" s="259">
        <f t="shared" si="6"/>
        <v>403.65470600000003</v>
      </c>
      <c r="K11" s="259">
        <f>SUM(K12:K13)</f>
        <v>463.267091</v>
      </c>
      <c r="L11" s="259">
        <f>SUM(L12:L13)</f>
        <v>535.251919</v>
      </c>
      <c r="M11" s="259">
        <f>SUM(M12:M13)</f>
        <v>597.842506</v>
      </c>
      <c r="N11" s="259">
        <f>SUM(N12:N13)</f>
        <v>683.790046</v>
      </c>
      <c r="O11" s="259">
        <f>SUM(O12:O13)</f>
        <v>773.381527</v>
      </c>
      <c r="P11" s="260">
        <f t="shared" si="1"/>
        <v>10.104309008762922</v>
      </c>
      <c r="Q11" s="342">
        <f t="shared" si="2"/>
        <v>11.693668864735063</v>
      </c>
      <c r="R11" s="342">
        <f t="shared" si="3"/>
        <v>14.376284579537746</v>
      </c>
      <c r="S11" s="342">
        <f t="shared" si="4"/>
        <v>13.102191458341306</v>
      </c>
      <c r="T11" s="342">
        <f>(M11/(L11*(1+Inflation!$E$12))-1)*100</f>
        <v>11.489270166108035</v>
      </c>
      <c r="U11" s="342">
        <f>(N11/(M11*(1+Inflation!$F$12))-1)*100</f>
        <v>13.207661418306028</v>
      </c>
      <c r="V11" s="342">
        <f>(O11/(N11*(1+Inflation!$G$12))-1)*100</f>
        <v>11.046918344247224</v>
      </c>
      <c r="W11" s="260">
        <f>SUM('[1]rentes_vfu_sk'!C$8:C$9)/SUM('[1]rentes_vfu_sk'!$C$8:$E$9)*100</f>
        <v>84.108333684201</v>
      </c>
      <c r="X11" s="260">
        <f>SUM('[1]rentes_vfu_sk'!D$8:D$9)/SUM('[1]rentes_vfu_sk'!$C$8:$E$9)*100</f>
        <v>15.89166631579901</v>
      </c>
      <c r="Y11" s="260">
        <f>SUM('[1]rentes_vfu_sk'!E$8:E$9)/SUM('[1]rentes_vfu_sk'!$C$8:$E$9)*100</f>
        <v>0</v>
      </c>
    </row>
    <row r="12" spans="1:25" ht="15" customHeight="1">
      <c r="A12" s="91" t="s">
        <v>30</v>
      </c>
      <c r="B12" s="202">
        <v>290.754531</v>
      </c>
      <c r="C12" s="202">
        <v>410.257761</v>
      </c>
      <c r="D12" s="202">
        <v>493.891463</v>
      </c>
      <c r="E12" s="249">
        <v>163.628508</v>
      </c>
      <c r="F12" s="250">
        <v>178.267523</v>
      </c>
      <c r="G12" s="250">
        <v>209.371453</v>
      </c>
      <c r="H12" s="250">
        <v>237.62022</v>
      </c>
      <c r="I12" s="250">
        <v>277.835555</v>
      </c>
      <c r="J12" s="250">
        <v>336.095248</v>
      </c>
      <c r="K12" s="250">
        <v>395.767091</v>
      </c>
      <c r="L12" s="250">
        <v>454.094228</v>
      </c>
      <c r="M12" s="250">
        <v>497.842506</v>
      </c>
      <c r="N12" s="250">
        <v>569.698718</v>
      </c>
      <c r="O12" s="250">
        <f>'[1]prestations'!$H8/1000000</f>
        <v>645.358248</v>
      </c>
      <c r="P12" s="251">
        <f t="shared" si="1"/>
        <v>8.431671731856422</v>
      </c>
      <c r="Q12" s="341">
        <f t="shared" si="2"/>
        <v>9.634185000034833</v>
      </c>
      <c r="R12" s="341">
        <f t="shared" si="3"/>
        <v>14.433522878016358</v>
      </c>
      <c r="S12" s="341">
        <f t="shared" si="4"/>
        <v>13.280621424884442</v>
      </c>
      <c r="T12" s="341">
        <f>(M12/(L12*(1+Inflation!$E$12))-1)*100</f>
        <v>9.433555143689265</v>
      </c>
      <c r="U12" s="341">
        <f>(N12/(M12*(1+Inflation!$F$12))-1)*100</f>
        <v>13.264314892740403</v>
      </c>
      <c r="V12" s="341">
        <f>(O12/(N12*(1+Inflation!$G$12))-1)*100</f>
        <v>11.222105912846914</v>
      </c>
      <c r="W12" s="251">
        <f>'[1]rentes_vfu_sk'!C8/SUM('[1]rentes_vfu_sk'!$C8:$E8)*100</f>
        <v>91.16345572481754</v>
      </c>
      <c r="X12" s="251">
        <f>'[1]rentes_vfu_sk'!D8/SUM('[1]rentes_vfu_sk'!$C8:$E8)*100</f>
        <v>8.836544275182458</v>
      </c>
      <c r="Y12" s="251">
        <f>'[1]rentes_vfu_sk'!E8/SUM('[1]rentes_vfu_sk'!$C8:$E8)*100</f>
        <v>0</v>
      </c>
    </row>
    <row r="13" spans="1:25" ht="15" customHeight="1">
      <c r="A13" s="91" t="s">
        <v>40</v>
      </c>
      <c r="B13" s="202">
        <v>25.8</v>
      </c>
      <c r="C13" s="202">
        <v>34.6</v>
      </c>
      <c r="D13" s="202">
        <v>40.3</v>
      </c>
      <c r="E13" s="249">
        <v>39.4</v>
      </c>
      <c r="F13" s="250">
        <v>47.510463</v>
      </c>
      <c r="G13" s="250">
        <v>46.1</v>
      </c>
      <c r="H13" s="250">
        <v>51</v>
      </c>
      <c r="I13" s="250">
        <v>54.3</v>
      </c>
      <c r="J13" s="250">
        <v>67.559458</v>
      </c>
      <c r="K13" s="250">
        <v>67.5</v>
      </c>
      <c r="L13" s="250">
        <v>81.157691</v>
      </c>
      <c r="M13" s="250">
        <v>100</v>
      </c>
      <c r="N13" s="250">
        <v>114.091328</v>
      </c>
      <c r="O13" s="250">
        <f>'[1]prestations'!$H9/1000000</f>
        <v>128.023279</v>
      </c>
      <c r="P13" s="251">
        <f t="shared" si="1"/>
        <v>1.6726372769064974</v>
      </c>
      <c r="Q13" s="341">
        <f t="shared" si="2"/>
        <v>23.216911136616748</v>
      </c>
      <c r="R13" s="341">
        <f t="shared" si="3"/>
        <v>14.091328000000015</v>
      </c>
      <c r="S13" s="341">
        <f t="shared" si="4"/>
        <v>12.211226956706112</v>
      </c>
      <c r="T13" s="341">
        <f>(M13/(L13*(1+Inflation!$E$12))-1)*100</f>
        <v>22.991424978438268</v>
      </c>
      <c r="U13" s="341">
        <f>(N13/(M13*(1+Inflation!$F$12))-1)*100</f>
        <v>12.925616341445757</v>
      </c>
      <c r="V13" s="341">
        <f>(O13/(N13*(1+Inflation!$G$12))-1)*100</f>
        <v>10.172144292701567</v>
      </c>
      <c r="W13" s="251">
        <f>'[1]rentes_vfu_sk'!C9/SUM('[1]rentes_vfu_sk'!$C9:$E9)*100</f>
        <v>48.543854824395495</v>
      </c>
      <c r="X13" s="251">
        <f>'[1]rentes_vfu_sk'!D9/SUM('[1]rentes_vfu_sk'!$C9:$E9)*100</f>
        <v>51.456145175604505</v>
      </c>
      <c r="Y13" s="251">
        <f>'[1]rentes_vfu_sk'!E9/SUM('[1]rentes_vfu_sk'!$C9:$E9)*100</f>
        <v>0</v>
      </c>
    </row>
    <row r="14" spans="1:25" ht="15" customHeight="1">
      <c r="A14" s="103" t="s">
        <v>201</v>
      </c>
      <c r="B14" s="262">
        <f aca="true" t="shared" si="7" ref="B14:M14">SUM(B15:B19)</f>
        <v>3418.809848</v>
      </c>
      <c r="C14" s="262">
        <f t="shared" si="7"/>
        <v>3544.249594</v>
      </c>
      <c r="D14" s="262">
        <f t="shared" si="7"/>
        <v>3464.7235180000002</v>
      </c>
      <c r="E14" s="263">
        <f t="shared" si="7"/>
        <v>4670.5715660000005</v>
      </c>
      <c r="F14" s="264">
        <f t="shared" si="7"/>
        <v>4350.635766</v>
      </c>
      <c r="G14" s="264">
        <f t="shared" si="7"/>
        <v>3740.5955870000003</v>
      </c>
      <c r="H14" s="264">
        <f t="shared" si="7"/>
        <v>3294.877747</v>
      </c>
      <c r="I14" s="264">
        <f t="shared" si="7"/>
        <v>3418.392776</v>
      </c>
      <c r="J14" s="264">
        <f t="shared" si="7"/>
        <v>3644.3064520000007</v>
      </c>
      <c r="K14" s="264">
        <f t="shared" si="7"/>
        <v>3547.336738</v>
      </c>
      <c r="L14" s="264">
        <f t="shared" si="7"/>
        <v>3469.145265679532</v>
      </c>
      <c r="M14" s="264">
        <f t="shared" si="7"/>
        <v>3734.4657359999997</v>
      </c>
      <c r="N14" s="264">
        <f>SUM(N15:N19)</f>
        <v>4033.005834</v>
      </c>
      <c r="O14" s="264">
        <f>SUM(O15:O19)</f>
        <v>4869.068212530001</v>
      </c>
      <c r="P14" s="260">
        <f t="shared" si="1"/>
        <v>63.614875823311536</v>
      </c>
      <c r="Q14" s="342">
        <f t="shared" si="2"/>
        <v>7.648006929698203</v>
      </c>
      <c r="R14" s="342">
        <f t="shared" si="3"/>
        <v>7.994184954546335</v>
      </c>
      <c r="S14" s="342">
        <f t="shared" si="4"/>
        <v>20.73050258151452</v>
      </c>
      <c r="T14" s="342">
        <f>(M14/(L14*(1+Inflation!$E$12))-1)*100</f>
        <v>7.451011766499915</v>
      </c>
      <c r="U14" s="342">
        <f>(N14/(M14*(1+Inflation!$F$12))-1)*100</f>
        <v>6.890769974070543</v>
      </c>
      <c r="V14" s="342">
        <f>(O14/(N14*(1+Inflation!$G$12))-1)*100</f>
        <v>18.536609140482053</v>
      </c>
      <c r="W14" s="260">
        <f>SUM('[1]rentes_vfu_sk'!C$10:C$16)/SUM('[1]rentes_vfu_sk'!$C$10:$E$16)*100</f>
        <v>80.86854483730002</v>
      </c>
      <c r="X14" s="260">
        <f>SUM('[1]rentes_vfu_sk'!D$10:D$16)/SUM('[1]rentes_vfu_sk'!$C$10:$E$16)*100</f>
        <v>4.15430604715013</v>
      </c>
      <c r="Y14" s="260">
        <f>SUM('[1]rentes_vfu_sk'!E$10:E$16)/SUM('[1]rentes_vfu_sk'!$C$10:$E$16)*100</f>
        <v>14.977149115549848</v>
      </c>
    </row>
    <row r="15" spans="1:25" ht="15" customHeight="1">
      <c r="A15" s="91" t="s">
        <v>202</v>
      </c>
      <c r="B15" s="265" t="s">
        <v>13</v>
      </c>
      <c r="C15" s="265" t="s">
        <v>13</v>
      </c>
      <c r="D15" s="265" t="s">
        <v>13</v>
      </c>
      <c r="E15" s="266" t="s">
        <v>13</v>
      </c>
      <c r="F15" s="250">
        <v>43.148902</v>
      </c>
      <c r="G15" s="250">
        <v>91.159799</v>
      </c>
      <c r="H15" s="250">
        <v>124.280257</v>
      </c>
      <c r="I15" s="250">
        <v>200.88999</v>
      </c>
      <c r="J15" s="250">
        <v>269.535488</v>
      </c>
      <c r="K15" s="250">
        <v>289.339931</v>
      </c>
      <c r="L15" s="250">
        <v>313.330018</v>
      </c>
      <c r="M15" s="250">
        <v>437.900952</v>
      </c>
      <c r="N15" s="250">
        <v>516.826644</v>
      </c>
      <c r="O15" s="250">
        <f>'[1]prestations'!$H10/1000000</f>
        <v>585.875627</v>
      </c>
      <c r="P15" s="251">
        <f t="shared" si="1"/>
        <v>7.654525184838977</v>
      </c>
      <c r="Q15" s="341">
        <f t="shared" si="2"/>
        <v>39.75710172780191</v>
      </c>
      <c r="R15" s="341">
        <f t="shared" si="3"/>
        <v>18.02364019523757</v>
      </c>
      <c r="S15" s="341">
        <f t="shared" si="4"/>
        <v>13.360182529598852</v>
      </c>
      <c r="T15" s="341">
        <f>(M15/(L15*(1+Inflation!$E$12))-1)*100</f>
        <v>39.501347126781106</v>
      </c>
      <c r="U15" s="341">
        <f>(N15/(M15*(1+Inflation!$F$12))-1)*100</f>
        <v>16.817750705016188</v>
      </c>
      <c r="V15" s="341">
        <f>(O15/(N15*(1+Inflation!$G$12))-1)*100</f>
        <v>11.300221247171383</v>
      </c>
      <c r="W15" s="251">
        <f>'[1]rentes_vfu_sk'!C10/SUM('[1]rentes_vfu_sk'!$C10:$E10)*100</f>
        <v>0.00016146771710644998</v>
      </c>
      <c r="X15" s="251">
        <f>'[1]rentes_vfu_sk'!D10/SUM('[1]rentes_vfu_sk'!$C10:$E10)*100</f>
        <v>0</v>
      </c>
      <c r="Y15" s="251">
        <f>'[1]rentes_vfu_sk'!E10/SUM('[1]rentes_vfu_sk'!$C10:$E10)*100</f>
        <v>99.9998385322829</v>
      </c>
    </row>
    <row r="16" spans="1:25" ht="15" customHeight="1">
      <c r="A16" s="91" t="s">
        <v>84</v>
      </c>
      <c r="B16" s="267">
        <v>2115.4538274685233</v>
      </c>
      <c r="C16" s="267">
        <v>2013.2671708262637</v>
      </c>
      <c r="D16" s="267">
        <v>1931.9730259633639</v>
      </c>
      <c r="E16" s="268">
        <v>2843.498684899507</v>
      </c>
      <c r="F16" s="268">
        <v>2652.537594</v>
      </c>
      <c r="G16" s="249">
        <v>2066.315523</v>
      </c>
      <c r="H16" s="250">
        <v>1524.066156</v>
      </c>
      <c r="I16" s="250">
        <v>1563.801519</v>
      </c>
      <c r="J16" s="250">
        <v>1619.466012</v>
      </c>
      <c r="K16" s="250">
        <v>1596.655398</v>
      </c>
      <c r="L16" s="250">
        <v>1261.08962211735</v>
      </c>
      <c r="M16" s="250">
        <v>1365.576952</v>
      </c>
      <c r="N16" s="249">
        <v>1604.903309</v>
      </c>
      <c r="O16" s="249">
        <f>'[1]prestations'!$H11/1000000</f>
        <v>1838.07053853</v>
      </c>
      <c r="P16" s="261">
        <f t="shared" si="1"/>
        <v>24.01458019466037</v>
      </c>
      <c r="Q16" s="343">
        <f t="shared" si="2"/>
        <v>8.285480115776167</v>
      </c>
      <c r="R16" s="343">
        <f t="shared" si="3"/>
        <v>17.525658781036626</v>
      </c>
      <c r="S16" s="343">
        <f t="shared" si="4"/>
        <v>14.528428486778067</v>
      </c>
      <c r="T16" s="343">
        <f>(M16/(L16*(1+Inflation!$E$12))-1)*100</f>
        <v>8.087318380730357</v>
      </c>
      <c r="U16" s="343">
        <f>(N16/(M16*(1+Inflation!$F$12))-1)*100</f>
        <v>16.324857343960495</v>
      </c>
      <c r="V16" s="343">
        <f>(O16/(N16*(1+Inflation!$G$12))-1)*100</f>
        <v>12.447238044460063</v>
      </c>
      <c r="W16" s="261">
        <f>'[1]rentes_vfu_sk'!C11/SUM('[1]rentes_vfu_sk'!$C11:$E11)*100</f>
        <v>99.56457337219479</v>
      </c>
      <c r="X16" s="261">
        <f>'[1]rentes_vfu_sk'!D11/SUM('[1]rentes_vfu_sk'!$C11:$E11)*100</f>
        <v>0.435426627805218</v>
      </c>
      <c r="Y16" s="261">
        <f>'[1]rentes_vfu_sk'!E11/SUM('[1]rentes_vfu_sk'!$C11:$E11)*100</f>
        <v>0</v>
      </c>
    </row>
    <row r="17" spans="1:25" ht="15" customHeight="1">
      <c r="A17" s="91" t="s">
        <v>85</v>
      </c>
      <c r="B17" s="267">
        <v>144.01662083782162</v>
      </c>
      <c r="C17" s="267">
        <v>1215.7908328320982</v>
      </c>
      <c r="D17" s="267">
        <v>245.8182798257283</v>
      </c>
      <c r="E17" s="268">
        <v>203.794948</v>
      </c>
      <c r="F17" s="250">
        <v>174.194747</v>
      </c>
      <c r="G17" s="250">
        <v>98.185425</v>
      </c>
      <c r="H17" s="250">
        <v>105.412508</v>
      </c>
      <c r="I17" s="250">
        <v>189.421217</v>
      </c>
      <c r="J17" s="250">
        <v>158.849623</v>
      </c>
      <c r="K17" s="250">
        <v>114.261376</v>
      </c>
      <c r="L17" s="250">
        <v>179.1719715664</v>
      </c>
      <c r="M17" s="250">
        <v>144.132938</v>
      </c>
      <c r="N17" s="250">
        <v>202.702486</v>
      </c>
      <c r="O17" s="250">
        <f>'[1]prestations'!$H12/1000000</f>
        <v>204.483281</v>
      </c>
      <c r="P17" s="251">
        <f t="shared" si="1"/>
        <v>2.671595048778169</v>
      </c>
      <c r="Q17" s="341">
        <f t="shared" si="2"/>
        <v>-19.556090866262956</v>
      </c>
      <c r="R17" s="341">
        <f t="shared" si="3"/>
        <v>40.63578305744382</v>
      </c>
      <c r="S17" s="341">
        <f t="shared" si="4"/>
        <v>0.8785264725367004</v>
      </c>
      <c r="T17" s="341">
        <f>(M17/(L17*(1+Inflation!$E$12))-1)*100</f>
        <v>-19.70330270473626</v>
      </c>
      <c r="U17" s="341">
        <f>(N17/(M17*(1+Inflation!$F$12))-1)*100</f>
        <v>39.1988572648019</v>
      </c>
      <c r="V17" s="341">
        <f>(O17/(N17*(1+Inflation!$G$12))-1)*100</f>
        <v>-0.954620353135538</v>
      </c>
      <c r="W17" s="251">
        <f>'[1]rentes_vfu_sk'!C12/SUM('[1]rentes_vfu_sk'!$C12:$E12)*100</f>
        <v>36.68491657070349</v>
      </c>
      <c r="X17" s="251">
        <f>'[1]rentes_vfu_sk'!D12/SUM('[1]rentes_vfu_sk'!$C12:$E12)*100</f>
        <v>3.420124173919128</v>
      </c>
      <c r="Y17" s="251">
        <f>'[1]rentes_vfu_sk'!E12/SUM('[1]rentes_vfu_sk'!$C12:$E12)*100</f>
        <v>59.89495925537738</v>
      </c>
    </row>
    <row r="18" spans="1:25" ht="15" customHeight="1">
      <c r="A18" s="91" t="s">
        <v>133</v>
      </c>
      <c r="B18" s="267">
        <v>1159.3393996936547</v>
      </c>
      <c r="C18" s="267">
        <v>315.19159034163806</v>
      </c>
      <c r="D18" s="267">
        <v>1286.932212210908</v>
      </c>
      <c r="E18" s="268">
        <v>1622.2779331004929</v>
      </c>
      <c r="F18" s="250">
        <v>1480.025942</v>
      </c>
      <c r="G18" s="250">
        <v>1472.270986</v>
      </c>
      <c r="H18" s="250">
        <v>1532.871027</v>
      </c>
      <c r="I18" s="250">
        <v>1398.9805459999998</v>
      </c>
      <c r="J18" s="250">
        <v>1590.1156970000002</v>
      </c>
      <c r="K18" s="250">
        <v>1539.668874</v>
      </c>
      <c r="L18" s="250">
        <v>1711.0363629957817</v>
      </c>
      <c r="M18" s="250">
        <v>1780.718988</v>
      </c>
      <c r="N18" s="250">
        <v>1702.033716</v>
      </c>
      <c r="O18" s="250">
        <f>SUM('[1]prestations'!$H$13,'[1]prestations'!$H$15:$H$16)/1000000</f>
        <v>2236.822907</v>
      </c>
      <c r="P18" s="251">
        <f t="shared" si="1"/>
        <v>29.224320805644698</v>
      </c>
      <c r="Q18" s="341">
        <f t="shared" si="2"/>
        <v>4.072539106194917</v>
      </c>
      <c r="R18" s="341">
        <f t="shared" si="3"/>
        <v>-4.4187360571908645</v>
      </c>
      <c r="S18" s="341">
        <f t="shared" si="4"/>
        <v>31.42059913224424</v>
      </c>
      <c r="T18" s="341">
        <f>(M18/(L18*(1+Inflation!$E$12))-1)*100</f>
        <v>3.8820870262128437</v>
      </c>
      <c r="U18" s="341">
        <f>(N18/(M18*(1+Inflation!$F$12))-1)*100</f>
        <v>-5.395323810797192</v>
      </c>
      <c r="V18" s="341">
        <f>(O18/(N18*(1+Inflation!$G$12))-1)*100</f>
        <v>29.03244713844202</v>
      </c>
      <c r="W18" s="251">
        <f>'[1]rentes_vfu_sk'!C13/SUM('[1]rentes_vfu_sk'!$C13:$E13)*100</f>
        <v>91.72676710426443</v>
      </c>
      <c r="X18" s="251">
        <f>'[1]rentes_vfu_sk'!D13/SUM('[1]rentes_vfu_sk'!$C13:$E13)*100</f>
        <v>8.27323289573558</v>
      </c>
      <c r="Y18" s="251">
        <f>'[1]rentes_vfu_sk'!E13/SUM('[1]rentes_vfu_sk'!$C13:$E13)*100</f>
        <v>0</v>
      </c>
    </row>
    <row r="19" spans="1:25" ht="15" customHeight="1">
      <c r="A19" s="91" t="s">
        <v>64</v>
      </c>
      <c r="B19" s="267" t="s">
        <v>13</v>
      </c>
      <c r="C19" s="267" t="s">
        <v>13</v>
      </c>
      <c r="D19" s="267" t="s">
        <v>13</v>
      </c>
      <c r="E19" s="268">
        <v>1</v>
      </c>
      <c r="F19" s="250">
        <v>0.728581</v>
      </c>
      <c r="G19" s="250">
        <v>12.663854</v>
      </c>
      <c r="H19" s="250">
        <v>8.247799</v>
      </c>
      <c r="I19" s="250">
        <v>65.299504</v>
      </c>
      <c r="J19" s="250">
        <v>6.339632</v>
      </c>
      <c r="K19" s="250">
        <v>7.411159</v>
      </c>
      <c r="L19" s="250">
        <v>4.517291</v>
      </c>
      <c r="M19" s="250">
        <v>6.135906</v>
      </c>
      <c r="N19" s="250">
        <v>6.539679</v>
      </c>
      <c r="O19" s="250">
        <f>'[1]prestations'!$H$14/1000000</f>
        <v>3.815859</v>
      </c>
      <c r="P19" s="251">
        <f t="shared" si="1"/>
        <v>0.049854589389318416</v>
      </c>
      <c r="Q19" s="341">
        <f t="shared" si="2"/>
        <v>35.8315415145936</v>
      </c>
      <c r="R19" s="341">
        <f t="shared" si="3"/>
        <v>6.580495203153358</v>
      </c>
      <c r="S19" s="341">
        <f t="shared" si="4"/>
        <v>-41.65066817499758</v>
      </c>
      <c r="T19" s="341">
        <f>(M19/(L19*(1+Inflation!$E$12))-1)*100</f>
        <v>35.58297066361986</v>
      </c>
      <c r="U19" s="341">
        <f>(N19/(M19*(1+Inflation!$F$12))-1)*100</f>
        <v>5.491524393445535</v>
      </c>
      <c r="V19" s="341">
        <f>(O19/(N19*(1+Inflation!$G$12))-1)*100</f>
        <v>-42.71098196183921</v>
      </c>
      <c r="W19" s="251">
        <f>'[1]rentes_vfu_sk'!C14/SUM('[1]rentes_vfu_sk'!$C14:$E14)*100</f>
        <v>58.67161234207029</v>
      </c>
      <c r="X19" s="251">
        <f>'[1]rentes_vfu_sk'!D14/SUM('[1]rentes_vfu_sk'!$C14:$E14)*100</f>
        <v>41.32838765792971</v>
      </c>
      <c r="Y19" s="251">
        <f>'[1]rentes_vfu_sk'!E14/SUM('[1]rentes_vfu_sk'!$C14:$E14)*100</f>
        <v>0</v>
      </c>
    </row>
    <row r="20" spans="1:25" ht="15" customHeight="1">
      <c r="A20" s="99" t="s">
        <v>41</v>
      </c>
      <c r="B20" s="269">
        <f aca="true" t="shared" si="8" ref="B20:J20">B5+B10</f>
        <v>4218.834374</v>
      </c>
      <c r="C20" s="269">
        <f t="shared" si="8"/>
        <v>5073.086559</v>
      </c>
      <c r="D20" s="269">
        <f t="shared" si="8"/>
        <v>4734.520986</v>
      </c>
      <c r="E20" s="269">
        <f t="shared" si="8"/>
        <v>6040.324426000001</v>
      </c>
      <c r="F20" s="269">
        <f t="shared" si="8"/>
        <v>5848.116618200001</v>
      </c>
      <c r="G20" s="270">
        <f>G5+G10</f>
        <v>5382.400824</v>
      </c>
      <c r="H20" s="270">
        <f>H5+H10</f>
        <v>5037.771968</v>
      </c>
      <c r="I20" s="270">
        <f>I5+I10</f>
        <v>5291.37803</v>
      </c>
      <c r="J20" s="270">
        <f t="shared" si="8"/>
        <v>5633.411601000001</v>
      </c>
      <c r="K20" s="270">
        <f>K5+K10</f>
        <v>5658.930682</v>
      </c>
      <c r="L20" s="270">
        <f>L5+L10</f>
        <v>5672.657040679533</v>
      </c>
      <c r="M20" s="270">
        <f>M5+M10</f>
        <v>6089.832904999999</v>
      </c>
      <c r="N20" s="270">
        <f>N5+N10</f>
        <v>6596.867103999999</v>
      </c>
      <c r="O20" s="270">
        <f>O5+O10</f>
        <v>7653.977390530001</v>
      </c>
      <c r="P20" s="356">
        <f t="shared" si="1"/>
        <v>100</v>
      </c>
      <c r="Q20" s="344">
        <f t="shared" si="2"/>
        <v>7.354152759964716</v>
      </c>
      <c r="R20" s="344">
        <f t="shared" si="3"/>
        <v>8.325913155740361</v>
      </c>
      <c r="S20" s="344">
        <f t="shared" si="4"/>
        <v>16.02442901857193</v>
      </c>
      <c r="T20" s="344">
        <f>(M20/(L20*(1+Inflation!$E$12))-1)*100</f>
        <v>7.157695348014914</v>
      </c>
      <c r="U20" s="344">
        <f>(N20/(M20*(1+Inflation!$F$12))-1)*100</f>
        <v>7.219108790300921</v>
      </c>
      <c r="V20" s="344">
        <f>(O20/(N20*(1+Inflation!$G$12))-1)*100</f>
        <v>13.916053517927264</v>
      </c>
      <c r="W20" s="356">
        <f>SUM('[1]rentes_vfu_sk'!C$4:C$16)/SUM('[1]rentes_vfu_sk'!$C$4:$E$16)*100</f>
        <v>80.14466276926711</v>
      </c>
      <c r="X20" s="356">
        <f>SUM('[1]rentes_vfu_sk'!D$4:D$16)/SUM('[1]rentes_vfu_sk'!$C$4:$E$16)*100</f>
        <v>9.55679150643738</v>
      </c>
      <c r="Y20" s="356">
        <f>SUM('[1]rentes_vfu_sk'!E$4:E$16)/SUM('[1]rentes_vfu_sk'!$C$4:$E$16)*100</f>
        <v>10.298545724295497</v>
      </c>
    </row>
    <row r="21" spans="1:24" s="4" customFormat="1" ht="15" customHeight="1">
      <c r="A21" s="205"/>
      <c r="B21" s="207"/>
      <c r="C21" s="207"/>
      <c r="D21" s="207"/>
      <c r="E21" s="208"/>
      <c r="F21" s="209"/>
      <c r="G21" s="209"/>
      <c r="H21" s="209"/>
      <c r="I21" s="209"/>
      <c r="J21" s="209"/>
      <c r="K21" s="209"/>
      <c r="L21" s="209"/>
      <c r="M21" s="209"/>
      <c r="N21" s="209"/>
      <c r="O21" s="209"/>
      <c r="P21" s="211"/>
      <c r="Q21" s="211"/>
      <c r="R21" s="211"/>
      <c r="S21" s="211"/>
      <c r="T21" s="211"/>
      <c r="U21" s="211"/>
      <c r="V21" s="210"/>
      <c r="W21" s="210"/>
      <c r="X21" s="210"/>
    </row>
    <row r="22" spans="1:20" ht="11.25">
      <c r="A22" s="19"/>
      <c r="B22" s="206"/>
      <c r="C22" s="206"/>
      <c r="D22" s="206"/>
      <c r="E22" s="206"/>
      <c r="F22" s="206"/>
      <c r="G22" s="206"/>
      <c r="H22" s="206"/>
      <c r="I22" s="206"/>
      <c r="J22" s="206"/>
      <c r="K22" s="206"/>
      <c r="L22" s="206"/>
      <c r="M22" s="33"/>
      <c r="N22" s="33"/>
      <c r="O22" s="33"/>
      <c r="P22" s="33"/>
      <c r="Q22" s="33"/>
      <c r="R22" s="33"/>
      <c r="S22" s="57"/>
      <c r="T22" s="72"/>
    </row>
    <row r="23" spans="1:19" ht="27" customHeight="1">
      <c r="A23" s="415"/>
      <c r="B23" s="415"/>
      <c r="C23" s="415"/>
      <c r="D23" s="415"/>
      <c r="E23" s="415"/>
      <c r="F23" s="415"/>
      <c r="G23" s="415"/>
      <c r="H23" s="415"/>
      <c r="I23" s="415"/>
      <c r="J23" s="415"/>
      <c r="K23" s="415"/>
      <c r="L23" s="415"/>
      <c r="M23" s="415"/>
      <c r="N23" s="415"/>
      <c r="O23" s="415"/>
      <c r="P23" s="415"/>
      <c r="Q23" s="415"/>
      <c r="R23" s="415"/>
      <c r="S23" s="415"/>
    </row>
    <row r="24" spans="1:19" ht="24.75" customHeight="1">
      <c r="A24" s="415"/>
      <c r="B24" s="415"/>
      <c r="C24" s="415"/>
      <c r="D24" s="415"/>
      <c r="E24" s="415"/>
      <c r="F24" s="415"/>
      <c r="G24" s="415"/>
      <c r="H24" s="415"/>
      <c r="I24" s="415"/>
      <c r="J24" s="415"/>
      <c r="K24" s="415"/>
      <c r="L24" s="415"/>
      <c r="M24" s="415"/>
      <c r="N24" s="415"/>
      <c r="O24" s="415"/>
      <c r="P24" s="415"/>
      <c r="Q24" s="415"/>
      <c r="R24" s="415"/>
      <c r="S24" s="415"/>
    </row>
    <row r="27" spans="1:16" ht="11.25" customHeight="1">
      <c r="A27" s="14"/>
      <c r="B27" s="14"/>
      <c r="C27" s="14"/>
      <c r="D27" s="14"/>
      <c r="E27" s="14"/>
      <c r="F27" s="137"/>
      <c r="G27" s="137"/>
      <c r="H27" s="137"/>
      <c r="I27" s="137"/>
      <c r="J27" s="137"/>
      <c r="K27" s="137"/>
      <c r="L27" s="137"/>
      <c r="M27" s="137"/>
      <c r="N27" s="137"/>
      <c r="O27" s="137"/>
      <c r="P27" s="14"/>
    </row>
    <row r="28" spans="1:16" ht="11.25" customHeight="1">
      <c r="A28" s="14"/>
      <c r="B28" s="14"/>
      <c r="C28" s="14"/>
      <c r="D28" s="14"/>
      <c r="E28" s="14"/>
      <c r="F28" s="14"/>
      <c r="G28" s="14"/>
      <c r="H28" s="14"/>
      <c r="I28" s="14"/>
      <c r="J28" s="14"/>
      <c r="K28" s="14"/>
      <c r="L28" s="14"/>
      <c r="M28" s="14"/>
      <c r="N28" s="14"/>
      <c r="O28" s="14"/>
      <c r="P28" s="14"/>
    </row>
    <row r="31" spans="1:16" ht="11.25">
      <c r="A31" s="4"/>
      <c r="B31" s="4"/>
      <c r="C31" s="4"/>
      <c r="D31" s="4"/>
      <c r="K31" s="4"/>
      <c r="L31" s="4"/>
      <c r="M31" s="4"/>
      <c r="N31" s="4"/>
      <c r="O31" s="4"/>
      <c r="P31" s="4"/>
    </row>
    <row r="32" spans="1:16" ht="11.25">
      <c r="A32" s="4"/>
      <c r="B32" s="4"/>
      <c r="C32" s="4"/>
      <c r="D32" s="4"/>
      <c r="K32" s="4"/>
      <c r="L32" s="4"/>
      <c r="M32" s="4"/>
      <c r="N32" s="4"/>
      <c r="O32" s="4"/>
      <c r="P32" s="4"/>
    </row>
    <row r="33" spans="1:16" ht="11.25">
      <c r="A33" s="4"/>
      <c r="B33" s="4"/>
      <c r="C33" s="4"/>
      <c r="D33" s="4"/>
      <c r="E33" s="4"/>
      <c r="F33" s="73"/>
      <c r="G33" s="4"/>
      <c r="K33" s="26"/>
      <c r="L33" s="26"/>
      <c r="M33" s="26"/>
      <c r="N33" s="26"/>
      <c r="O33" s="26"/>
      <c r="P33" s="26"/>
    </row>
    <row r="34" spans="1:16" ht="11.25">
      <c r="A34" s="23"/>
      <c r="B34" s="23"/>
      <c r="C34" s="23"/>
      <c r="D34" s="4"/>
      <c r="E34" s="4"/>
      <c r="F34" s="73"/>
      <c r="G34" s="4"/>
      <c r="K34" s="26"/>
      <c r="L34" s="26"/>
      <c r="M34" s="26"/>
      <c r="N34" s="26"/>
      <c r="O34" s="26"/>
      <c r="P34" s="26"/>
    </row>
    <row r="35" spans="1:18" ht="11.25">
      <c r="A35" s="20"/>
      <c r="B35" s="20"/>
      <c r="C35" s="20"/>
      <c r="D35" s="26"/>
      <c r="E35" s="26"/>
      <c r="F35" s="73"/>
      <c r="G35" s="4"/>
      <c r="K35" s="26"/>
      <c r="L35" s="26"/>
      <c r="M35" s="26"/>
      <c r="N35" s="26"/>
      <c r="O35" s="26"/>
      <c r="P35" s="26"/>
      <c r="Q35" s="1"/>
      <c r="R35" s="1"/>
    </row>
    <row r="36" spans="1:16" ht="15.75" customHeight="1">
      <c r="A36" s="20"/>
      <c r="B36" s="20"/>
      <c r="C36" s="20"/>
      <c r="D36" s="4"/>
      <c r="E36" s="4"/>
      <c r="F36" s="73"/>
      <c r="G36" s="4"/>
      <c r="K36" s="26"/>
      <c r="L36" s="26"/>
      <c r="M36" s="26"/>
      <c r="N36" s="26"/>
      <c r="O36" s="26"/>
      <c r="P36" s="26"/>
    </row>
    <row r="37" spans="1:16" ht="11.25">
      <c r="A37" s="20"/>
      <c r="B37" s="20"/>
      <c r="C37" s="20"/>
      <c r="D37" s="4"/>
      <c r="E37" s="46"/>
      <c r="F37" s="46"/>
      <c r="G37" s="46"/>
      <c r="K37" s="26"/>
      <c r="L37" s="26"/>
      <c r="M37" s="26"/>
      <c r="N37" s="26"/>
      <c r="O37" s="26"/>
      <c r="P37" s="26"/>
    </row>
    <row r="38" spans="1:16" ht="11.25">
      <c r="A38" s="20"/>
      <c r="B38" s="20"/>
      <c r="C38" s="20"/>
      <c r="D38" s="4"/>
      <c r="E38" s="46"/>
      <c r="F38" s="46"/>
      <c r="G38" s="46"/>
      <c r="K38" s="26"/>
      <c r="L38" s="26"/>
      <c r="M38" s="26"/>
      <c r="N38" s="26"/>
      <c r="O38" s="26"/>
      <c r="P38" s="26"/>
    </row>
    <row r="39" spans="1:16" ht="11.25">
      <c r="A39" s="23"/>
      <c r="B39" s="23"/>
      <c r="C39" s="23"/>
      <c r="D39" s="4"/>
      <c r="E39" s="46"/>
      <c r="F39" s="46"/>
      <c r="G39" s="46"/>
      <c r="I39" s="46"/>
      <c r="J39" s="46"/>
      <c r="K39" s="26"/>
      <c r="L39" s="26"/>
      <c r="M39" s="26"/>
      <c r="N39" s="26"/>
      <c r="O39" s="26"/>
      <c r="P39" s="26"/>
    </row>
    <row r="40" spans="1:16" ht="11.25">
      <c r="A40" s="48"/>
      <c r="B40" s="48"/>
      <c r="C40" s="48"/>
      <c r="D40" s="4"/>
      <c r="E40" s="46"/>
      <c r="F40" s="46"/>
      <c r="G40" s="46"/>
      <c r="I40" s="46"/>
      <c r="J40" s="46"/>
      <c r="K40" s="26"/>
      <c r="L40" s="26"/>
      <c r="M40" s="26"/>
      <c r="N40" s="26"/>
      <c r="O40" s="26"/>
      <c r="P40" s="26"/>
    </row>
    <row r="41" spans="1:16" ht="11.25">
      <c r="A41" s="75"/>
      <c r="B41" s="75"/>
      <c r="C41" s="75"/>
      <c r="D41" s="76"/>
      <c r="E41" s="4"/>
      <c r="F41" s="46"/>
      <c r="G41" s="46"/>
      <c r="I41" s="46"/>
      <c r="J41" s="46"/>
      <c r="K41" s="26"/>
      <c r="L41" s="26"/>
      <c r="M41" s="26"/>
      <c r="N41" s="26"/>
      <c r="O41" s="26"/>
      <c r="P41" s="26"/>
    </row>
    <row r="42" spans="1:16" ht="11.25">
      <c r="A42" s="75"/>
      <c r="B42" s="75"/>
      <c r="C42" s="75"/>
      <c r="D42" s="76"/>
      <c r="E42" s="4"/>
      <c r="F42" s="46"/>
      <c r="G42" s="46"/>
      <c r="I42" s="46"/>
      <c r="J42" s="46"/>
      <c r="K42" s="26"/>
      <c r="L42" s="26"/>
      <c r="M42" s="26"/>
      <c r="N42" s="26"/>
      <c r="O42" s="26"/>
      <c r="P42" s="26"/>
    </row>
    <row r="43" spans="1:16" ht="11.25">
      <c r="A43" s="75"/>
      <c r="B43" s="75"/>
      <c r="C43" s="75"/>
      <c r="D43" s="76"/>
      <c r="E43" s="4"/>
      <c r="F43" s="46"/>
      <c r="G43" s="46"/>
      <c r="I43" s="46"/>
      <c r="J43" s="46"/>
      <c r="K43" s="26"/>
      <c r="L43" s="26"/>
      <c r="M43" s="26"/>
      <c r="N43" s="26"/>
      <c r="O43" s="26"/>
      <c r="P43" s="26"/>
    </row>
    <row r="44" spans="1:16" ht="11.25">
      <c r="A44" s="77"/>
      <c r="B44" s="77"/>
      <c r="C44" s="77"/>
      <c r="D44" s="76"/>
      <c r="E44" s="4"/>
      <c r="F44" s="74"/>
      <c r="G44" s="74"/>
      <c r="I44" s="74"/>
      <c r="J44" s="74"/>
      <c r="K44" s="26"/>
      <c r="L44" s="26"/>
      <c r="M44" s="26"/>
      <c r="N44" s="26"/>
      <c r="O44" s="26"/>
      <c r="P44" s="26"/>
    </row>
    <row r="45" spans="1:16" ht="11.25">
      <c r="A45" s="78"/>
      <c r="B45" s="78"/>
      <c r="C45" s="78"/>
      <c r="D45" s="76"/>
      <c r="E45" s="4"/>
      <c r="F45" s="46"/>
      <c r="G45" s="46"/>
      <c r="I45" s="46"/>
      <c r="J45" s="46"/>
      <c r="K45" s="26"/>
      <c r="L45" s="26"/>
      <c r="M45" s="26"/>
      <c r="N45" s="26"/>
      <c r="O45" s="26"/>
      <c r="P45" s="26"/>
    </row>
    <row r="46" spans="1:16" ht="11.25">
      <c r="A46" s="75"/>
      <c r="B46" s="75"/>
      <c r="C46" s="75"/>
      <c r="D46" s="76"/>
      <c r="E46" s="4"/>
      <c r="F46" s="4"/>
      <c r="G46" s="4"/>
      <c r="I46" s="4"/>
      <c r="J46" s="4"/>
      <c r="K46" s="26"/>
      <c r="L46" s="26"/>
      <c r="M46" s="26"/>
      <c r="N46" s="26"/>
      <c r="O46" s="26"/>
      <c r="P46" s="26"/>
    </row>
    <row r="47" spans="1:16" ht="11.25">
      <c r="A47" s="75"/>
      <c r="B47" s="75"/>
      <c r="C47" s="75"/>
      <c r="D47" s="76"/>
      <c r="E47" s="4"/>
      <c r="F47" s="4"/>
      <c r="G47" s="4"/>
      <c r="I47" s="4"/>
      <c r="J47" s="4"/>
      <c r="K47" s="26"/>
      <c r="L47" s="26"/>
      <c r="M47" s="26"/>
      <c r="N47" s="26"/>
      <c r="O47" s="26"/>
      <c r="P47" s="26"/>
    </row>
    <row r="48" spans="1:16" ht="11.25">
      <c r="A48" s="79"/>
      <c r="B48" s="79"/>
      <c r="C48" s="79"/>
      <c r="D48" s="80"/>
      <c r="E48" s="4"/>
      <c r="F48" s="4"/>
      <c r="G48" s="4"/>
      <c r="H48" s="4"/>
      <c r="I48" s="4"/>
      <c r="J48" s="4"/>
      <c r="K48" s="26"/>
      <c r="L48" s="26"/>
      <c r="M48" s="26"/>
      <c r="N48" s="26"/>
      <c r="O48" s="26"/>
      <c r="P48" s="26"/>
    </row>
    <row r="49" spans="1:16" ht="11.25">
      <c r="A49" s="75"/>
      <c r="B49" s="75"/>
      <c r="C49" s="75"/>
      <c r="D49" s="76"/>
      <c r="E49" s="4"/>
      <c r="F49" s="4"/>
      <c r="G49" s="4"/>
      <c r="H49" s="4"/>
      <c r="I49" s="4"/>
      <c r="J49" s="4"/>
      <c r="K49" s="26"/>
      <c r="L49" s="26"/>
      <c r="M49" s="26"/>
      <c r="N49" s="26"/>
      <c r="O49" s="26"/>
      <c r="P49" s="26"/>
    </row>
    <row r="50" spans="1:16" ht="11.25">
      <c r="A50" s="75"/>
      <c r="B50" s="75"/>
      <c r="C50" s="75"/>
      <c r="D50" s="76"/>
      <c r="E50" s="4"/>
      <c r="F50" s="4"/>
      <c r="G50" s="4"/>
      <c r="H50" s="4"/>
      <c r="I50" s="4"/>
      <c r="J50" s="4"/>
      <c r="K50" s="4"/>
      <c r="L50" s="4"/>
      <c r="M50" s="4"/>
      <c r="N50" s="4"/>
      <c r="O50" s="4"/>
      <c r="P50" s="4"/>
    </row>
    <row r="51" spans="1:16" ht="11.25">
      <c r="A51" s="75"/>
      <c r="B51" s="75"/>
      <c r="C51" s="75"/>
      <c r="D51" s="76"/>
      <c r="E51" s="4"/>
      <c r="F51" s="4"/>
      <c r="G51" s="4"/>
      <c r="H51" s="4"/>
      <c r="I51" s="4"/>
      <c r="J51" s="4"/>
      <c r="K51" s="4"/>
      <c r="L51" s="4"/>
      <c r="M51" s="4"/>
      <c r="N51" s="4"/>
      <c r="O51" s="4"/>
      <c r="P51" s="4"/>
    </row>
    <row r="52" spans="1:16" ht="11.25">
      <c r="A52" s="75"/>
      <c r="B52" s="75"/>
      <c r="C52" s="75"/>
      <c r="D52" s="76"/>
      <c r="E52" s="4"/>
      <c r="F52" s="4"/>
      <c r="G52" s="4"/>
      <c r="H52" s="4"/>
      <c r="I52" s="4"/>
      <c r="J52" s="4"/>
      <c r="K52" s="4"/>
      <c r="L52" s="4"/>
      <c r="M52" s="4"/>
      <c r="N52" s="4"/>
      <c r="O52" s="4"/>
      <c r="P52" s="4"/>
    </row>
    <row r="53" spans="1:10" ht="11.25">
      <c r="A53" s="75"/>
      <c r="B53" s="75"/>
      <c r="C53" s="75"/>
      <c r="D53" s="76"/>
      <c r="E53" s="4"/>
      <c r="F53" s="4"/>
      <c r="G53" s="4"/>
      <c r="H53" s="4"/>
      <c r="I53" s="4"/>
      <c r="J53" s="4"/>
    </row>
    <row r="54" spans="1:10" ht="11.25">
      <c r="A54" s="75"/>
      <c r="B54" s="75"/>
      <c r="C54" s="75"/>
      <c r="D54" s="76"/>
      <c r="E54" s="4"/>
      <c r="F54" s="4"/>
      <c r="G54" s="4"/>
      <c r="H54" s="4"/>
      <c r="I54" s="4"/>
      <c r="J54" s="4"/>
    </row>
    <row r="55" spans="1:10" ht="11.25">
      <c r="A55" s="4"/>
      <c r="B55" s="4"/>
      <c r="C55" s="4"/>
      <c r="D55" s="4"/>
      <c r="E55" s="4"/>
      <c r="F55" s="4"/>
      <c r="G55" s="4"/>
      <c r="H55" s="4"/>
      <c r="I55" s="4"/>
      <c r="J55" s="4"/>
    </row>
    <row r="56" spans="1:10" ht="11.25">
      <c r="A56" s="4"/>
      <c r="B56" s="4"/>
      <c r="C56" s="4"/>
      <c r="D56" s="4"/>
      <c r="E56" s="4"/>
      <c r="F56" s="4"/>
      <c r="G56" s="4"/>
      <c r="H56" s="4"/>
      <c r="I56" s="4"/>
      <c r="J56" s="4"/>
    </row>
    <row r="57" spans="1:10" ht="11.25">
      <c r="A57" s="4"/>
      <c r="B57" s="4"/>
      <c r="C57" s="4"/>
      <c r="D57" s="4"/>
      <c r="E57" s="4"/>
      <c r="F57" s="4"/>
      <c r="G57" s="4"/>
      <c r="H57" s="4"/>
      <c r="I57" s="4"/>
      <c r="J57" s="4"/>
    </row>
  </sheetData>
  <sheetProtection/>
  <mergeCells count="7">
    <mergeCell ref="T3:V3"/>
    <mergeCell ref="W3:Y3"/>
    <mergeCell ref="A24:S24"/>
    <mergeCell ref="A3:A4"/>
    <mergeCell ref="A23:S23"/>
    <mergeCell ref="Q3:S3"/>
    <mergeCell ref="B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W56"/>
  <sheetViews>
    <sheetView zoomScalePageLayoutView="0" workbookViewId="0" topLeftCell="A1">
      <pane xSplit="1" topLeftCell="G1" activePane="topRight" state="frozen"/>
      <selection pane="topLeft" activeCell="A1" sqref="A1"/>
      <selection pane="topRight" activeCell="V10" sqref="V10"/>
    </sheetView>
  </sheetViews>
  <sheetFormatPr defaultColWidth="11.421875" defaultRowHeight="12.75"/>
  <cols>
    <col min="1" max="1" width="56.28125" style="2" customWidth="1"/>
    <col min="2" max="14" width="8.57421875" style="2" customWidth="1"/>
    <col min="15" max="16" width="10.00390625" style="2" customWidth="1"/>
    <col min="17" max="17" width="10.00390625" style="36" customWidth="1"/>
    <col min="18" max="20" width="10.00390625" style="2" customWidth="1"/>
    <col min="21" max="21" width="11.28125" style="2" bestFit="1" customWidth="1"/>
    <col min="22" max="23" width="10.8515625" style="2" customWidth="1"/>
    <col min="24" max="16384" width="11.421875" style="2" customWidth="1"/>
  </cols>
  <sheetData>
    <row r="1" ht="11.25">
      <c r="A1" s="1" t="s">
        <v>173</v>
      </c>
    </row>
    <row r="3" spans="1:23" ht="63.75" customHeight="1">
      <c r="A3" s="417"/>
      <c r="B3" s="424" t="s">
        <v>167</v>
      </c>
      <c r="C3" s="425"/>
      <c r="D3" s="425"/>
      <c r="E3" s="425"/>
      <c r="F3" s="425"/>
      <c r="G3" s="425"/>
      <c r="H3" s="425"/>
      <c r="I3" s="425"/>
      <c r="J3" s="425"/>
      <c r="K3" s="425"/>
      <c r="L3" s="425"/>
      <c r="M3" s="425"/>
      <c r="N3" s="428"/>
      <c r="O3" s="242" t="s">
        <v>168</v>
      </c>
      <c r="P3" s="424" t="s">
        <v>169</v>
      </c>
      <c r="Q3" s="425"/>
      <c r="R3" s="426"/>
      <c r="S3" s="424" t="s">
        <v>170</v>
      </c>
      <c r="T3" s="425"/>
      <c r="U3" s="426"/>
      <c r="V3" s="424" t="s">
        <v>171</v>
      </c>
      <c r="W3" s="425"/>
    </row>
    <row r="4" spans="1:23" ht="21" customHeight="1">
      <c r="A4" s="427"/>
      <c r="B4" s="242">
        <v>2006</v>
      </c>
      <c r="C4" s="242">
        <v>2007</v>
      </c>
      <c r="D4" s="242">
        <v>2008</v>
      </c>
      <c r="E4" s="242">
        <v>2009</v>
      </c>
      <c r="F4" s="242">
        <v>2010</v>
      </c>
      <c r="G4" s="242">
        <v>2011</v>
      </c>
      <c r="H4" s="242">
        <v>2012</v>
      </c>
      <c r="I4" s="242">
        <v>2013</v>
      </c>
      <c r="J4" s="242">
        <v>2014</v>
      </c>
      <c r="K4" s="242">
        <v>2015</v>
      </c>
      <c r="L4" s="242">
        <v>2016</v>
      </c>
      <c r="M4" s="242">
        <v>2017</v>
      </c>
      <c r="N4" s="378">
        <v>2018</v>
      </c>
      <c r="O4" s="385">
        <v>2018</v>
      </c>
      <c r="P4" s="378" t="s">
        <v>135</v>
      </c>
      <c r="Q4" s="378" t="s">
        <v>166</v>
      </c>
      <c r="R4" s="378" t="s">
        <v>211</v>
      </c>
      <c r="S4" s="378" t="s">
        <v>135</v>
      </c>
      <c r="T4" s="378" t="s">
        <v>166</v>
      </c>
      <c r="U4" s="378" t="s">
        <v>211</v>
      </c>
      <c r="V4" s="378" t="s">
        <v>106</v>
      </c>
      <c r="W4" s="378" t="s">
        <v>107</v>
      </c>
    </row>
    <row r="5" spans="1:23" ht="25.5" customHeight="1">
      <c r="A5" s="100" t="s">
        <v>197</v>
      </c>
      <c r="B5" s="244">
        <f aca="true" t="shared" si="0" ref="B5:I5">SUM(B6:B9)</f>
        <v>21469.578169</v>
      </c>
      <c r="C5" s="244">
        <f t="shared" si="0"/>
        <v>26794.872489353183</v>
      </c>
      <c r="D5" s="244">
        <f t="shared" si="0"/>
        <v>28698.052532032238</v>
      </c>
      <c r="E5" s="244">
        <f t="shared" si="0"/>
        <v>31612.49297159913</v>
      </c>
      <c r="F5" s="244">
        <f t="shared" si="0"/>
        <v>34399.765978</v>
      </c>
      <c r="G5" s="244">
        <f>SUM(G6:G9)</f>
        <v>35811.077311</v>
      </c>
      <c r="H5" s="244">
        <f>SUM(H6:H9)</f>
        <v>37304.765828</v>
      </c>
      <c r="I5" s="244">
        <f t="shared" si="0"/>
        <v>40533.865497</v>
      </c>
      <c r="J5" s="244">
        <f>SUM(J6:J9)</f>
        <v>43155.929755</v>
      </c>
      <c r="K5" s="244">
        <f>SUM(K6:K9)</f>
        <v>45721.381624</v>
      </c>
      <c r="L5" s="244">
        <f>SUM(L6:L9)</f>
        <v>48860.471913</v>
      </c>
      <c r="M5" s="244">
        <f>SUM(M6:M9)</f>
        <v>51089.184827000005</v>
      </c>
      <c r="N5" s="244">
        <f>SUM('[1]encoursRed_detail'!$H$4:$H$7)/1000000</f>
        <v>51649.277111</v>
      </c>
      <c r="O5" s="245">
        <f>N5/$N$20*100</f>
        <v>21.74409171905775</v>
      </c>
      <c r="P5" s="339">
        <f>(L5/K5-1)*100</f>
        <v>6.865694293350555</v>
      </c>
      <c r="Q5" s="339">
        <f>(M5/L5-1)*100</f>
        <v>4.561382292762972</v>
      </c>
      <c r="R5" s="339">
        <f>(N5/M5-1)*100</f>
        <v>1.0963030353617897</v>
      </c>
      <c r="S5" s="339">
        <f>(L5/(K5*(1+Inflation!E$9))-1)*100</f>
        <v>6.218023418845409</v>
      </c>
      <c r="T5" s="339">
        <f>(M5/(L5*(1+Inflation!F$9))-1)*100</f>
        <v>3.329436698739241</v>
      </c>
      <c r="U5" s="339">
        <f>(N5/(M5*(1+Inflation!G$9))-1)*100</f>
        <v>-0.4865326746728571</v>
      </c>
      <c r="V5" s="245">
        <f>SUM('[1]encours_CL'!C$4:C$7)/SUM('[1]encours_CL'!$C$4:$D$7)*100</f>
        <v>73.65498733948999</v>
      </c>
      <c r="W5" s="245">
        <f>SUM('[1]encours_CL'!D$4:D$7)/SUM('[1]encours_CL'!$C$4:$D$7)*100</f>
        <v>26.34501266051002</v>
      </c>
    </row>
    <row r="6" spans="1:23" ht="15" customHeight="1">
      <c r="A6" s="89" t="s">
        <v>63</v>
      </c>
      <c r="B6" s="271">
        <v>2372.921643</v>
      </c>
      <c r="C6" s="271">
        <v>3404.953723</v>
      </c>
      <c r="D6" s="247">
        <v>4091</v>
      </c>
      <c r="E6" s="247">
        <v>5388.639228</v>
      </c>
      <c r="F6" s="247">
        <v>6547.69478</v>
      </c>
      <c r="G6" s="247">
        <v>7508.064295</v>
      </c>
      <c r="H6" s="247">
        <v>8850.897908</v>
      </c>
      <c r="I6" s="247">
        <v>10549.45816</v>
      </c>
      <c r="J6" s="247">
        <v>12380.303491</v>
      </c>
      <c r="K6" s="247">
        <v>14339.485446</v>
      </c>
      <c r="L6" s="247">
        <v>16330.003384</v>
      </c>
      <c r="M6" s="247">
        <v>18591.019352</v>
      </c>
      <c r="N6" s="247">
        <f>'[1]encoursRed_detail'!$H4/1000000</f>
        <v>19186.811496</v>
      </c>
      <c r="O6" s="248">
        <f aca="true" t="shared" si="1" ref="O6:O20">N6/$N$20*100</f>
        <v>8.077553303770102</v>
      </c>
      <c r="P6" s="340">
        <f aca="true" t="shared" si="2" ref="P6:P20">(L6/K6-1)*100</f>
        <v>13.881376326200412</v>
      </c>
      <c r="Q6" s="340">
        <f>(M6/L6-1)*100</f>
        <v>13.845777706423036</v>
      </c>
      <c r="R6" s="340">
        <f aca="true" t="shared" si="3" ref="R6:R20">(N6/M6-1)*100</f>
        <v>3.2047309118416134</v>
      </c>
      <c r="S6" s="340">
        <f>(L6/(K6*(1+Inflation!E$9))-1)*100</f>
        <v>13.191186166647695</v>
      </c>
      <c r="T6" s="340">
        <f>(M6/(L6*(1+Inflation!F$9))-1)*100</f>
        <v>12.504443064815685</v>
      </c>
      <c r="U6" s="340">
        <f>(N6/(M6*(1+Inflation!G$9))-1)*100</f>
        <v>1.5888841535814047</v>
      </c>
      <c r="V6" s="248">
        <f>'[1]encours_CL'!C4/SUM('[1]encours_CL'!$C4:$D4)*100</f>
        <v>93.21387602841294</v>
      </c>
      <c r="W6" s="248">
        <f>'[1]encours_CL'!D4/SUM('[1]encours_CL'!$C4:$D4)*100</f>
        <v>6.786123971587052</v>
      </c>
    </row>
    <row r="7" spans="1:23" ht="22.5">
      <c r="A7" s="90" t="s">
        <v>198</v>
      </c>
      <c r="B7" s="272">
        <v>12183.204056</v>
      </c>
      <c r="C7" s="272">
        <v>16443.194009353185</v>
      </c>
      <c r="D7" s="250">
        <v>17613.94776603224</v>
      </c>
      <c r="E7" s="250">
        <v>19133.55022832413</v>
      </c>
      <c r="F7" s="250">
        <v>20480.657939</v>
      </c>
      <c r="G7" s="250">
        <v>20950.016421</v>
      </c>
      <c r="H7" s="250">
        <v>21174.539217</v>
      </c>
      <c r="I7" s="250">
        <v>22749.797878</v>
      </c>
      <c r="J7" s="250">
        <v>23659.956953</v>
      </c>
      <c r="K7" s="250">
        <v>24430.660941</v>
      </c>
      <c r="L7" s="250">
        <v>25794.306365</v>
      </c>
      <c r="M7" s="250">
        <v>25892.60987</v>
      </c>
      <c r="N7" s="250">
        <f>'[1]encoursRed_detail'!$H5/1000000</f>
        <v>26081.402242</v>
      </c>
      <c r="O7" s="251">
        <f>N7/$N$20*100</f>
        <v>10.980142109112013</v>
      </c>
      <c r="P7" s="341">
        <f t="shared" si="2"/>
        <v>5.581696816525783</v>
      </c>
      <c r="Q7" s="341">
        <f aca="true" t="shared" si="4" ref="Q7:Q20">(M7/L7-1)*100</f>
        <v>0.38110544090221854</v>
      </c>
      <c r="R7" s="341">
        <f t="shared" si="3"/>
        <v>0.7291361239669447</v>
      </c>
      <c r="S7" s="341">
        <f>(L7/(K7*(1+Inflation!E$9))-1)*100</f>
        <v>4.941807744910465</v>
      </c>
      <c r="T7" s="341">
        <f>(M7/(L7*(1+Inflation!F$9))-1)*100</f>
        <v>-0.8015879958094496</v>
      </c>
      <c r="U7" s="341">
        <f>(N7/(M7*(1+Inflation!G$9))-1)*100</f>
        <v>-0.8479509594468637</v>
      </c>
      <c r="V7" s="251">
        <f>'[1]encours_CL'!C5/SUM('[1]encours_CL'!$C5:$D5)*100</f>
        <v>75.89601312389334</v>
      </c>
      <c r="W7" s="251">
        <f>'[1]encours_CL'!D5/SUM('[1]encours_CL'!$C5:$D5)*100</f>
        <v>24.103986876106667</v>
      </c>
    </row>
    <row r="8" spans="1:23" ht="15" customHeight="1">
      <c r="A8" s="90" t="s">
        <v>0</v>
      </c>
      <c r="B8" s="272">
        <v>6877.281024</v>
      </c>
      <c r="C8" s="272">
        <v>6909.679659</v>
      </c>
      <c r="D8" s="250">
        <v>6953.676608</v>
      </c>
      <c r="E8" s="250">
        <v>7005.003030215</v>
      </c>
      <c r="F8" s="250">
        <v>7094.606868</v>
      </c>
      <c r="G8" s="250">
        <v>7076.084345</v>
      </c>
      <c r="H8" s="250">
        <v>7007.426843</v>
      </c>
      <c r="I8" s="250">
        <v>6976.318997</v>
      </c>
      <c r="J8" s="250">
        <v>6855.62547</v>
      </c>
      <c r="K8" s="250">
        <v>6698.353417</v>
      </c>
      <c r="L8" s="250">
        <v>6443.700288</v>
      </c>
      <c r="M8" s="250">
        <v>6324.156278</v>
      </c>
      <c r="N8" s="250">
        <f>'[1]encoursRed_detail'!$H6/1000000</f>
        <v>6102.668917</v>
      </c>
      <c r="O8" s="251">
        <f t="shared" si="1"/>
        <v>2.569193608985278</v>
      </c>
      <c r="P8" s="341">
        <f t="shared" si="2"/>
        <v>-3.8017272775381916</v>
      </c>
      <c r="Q8" s="341">
        <f t="shared" si="4"/>
        <v>-1.8552074841628574</v>
      </c>
      <c r="R8" s="341">
        <f t="shared" si="3"/>
        <v>-3.5022436395269696</v>
      </c>
      <c r="S8" s="341">
        <f>(L8/(K8*(1+Inflation!E$9))-1)*100</f>
        <v>-4.384747112219767</v>
      </c>
      <c r="T8" s="341">
        <f>(M8/(L8*(1+Inflation!F$9))-1)*100</f>
        <v>-3.011552609533541</v>
      </c>
      <c r="U8" s="341">
        <f>(N8/(M8*(1+Inflation!G$9))-1)*100</f>
        <v>-5.013081228238336</v>
      </c>
      <c r="V8" s="251">
        <f>'[1]encours_CL'!C6/SUM('[1]encours_CL'!$C6:$D6)*100</f>
        <v>7.702432237321388</v>
      </c>
      <c r="W8" s="251">
        <f>'[1]encours_CL'!D6/SUM('[1]encours_CL'!$C6:$D6)*100</f>
        <v>92.29756776267861</v>
      </c>
    </row>
    <row r="9" spans="1:23" ht="15" customHeight="1">
      <c r="A9" s="91" t="s">
        <v>65</v>
      </c>
      <c r="B9" s="273">
        <v>36.171446</v>
      </c>
      <c r="C9" s="273">
        <v>37.045098</v>
      </c>
      <c r="D9" s="254">
        <v>39.428158</v>
      </c>
      <c r="E9" s="254">
        <v>85.30048506</v>
      </c>
      <c r="F9" s="254">
        <v>276.806391</v>
      </c>
      <c r="G9" s="254">
        <v>276.91225</v>
      </c>
      <c r="H9" s="254">
        <v>271.90186</v>
      </c>
      <c r="I9" s="254">
        <v>258.290462</v>
      </c>
      <c r="J9" s="254">
        <v>260.043841</v>
      </c>
      <c r="K9" s="254">
        <v>252.88182</v>
      </c>
      <c r="L9" s="254">
        <v>292.461876</v>
      </c>
      <c r="M9" s="254">
        <v>281.399327</v>
      </c>
      <c r="N9" s="250">
        <f>'[1]encoursRed_detail'!$H7/1000000</f>
        <v>278.394456</v>
      </c>
      <c r="O9" s="251">
        <f t="shared" si="1"/>
        <v>0.11720269719035345</v>
      </c>
      <c r="P9" s="341">
        <f t="shared" si="2"/>
        <v>15.651602001282662</v>
      </c>
      <c r="Q9" s="341">
        <f t="shared" si="4"/>
        <v>-3.782561047375621</v>
      </c>
      <c r="R9" s="341">
        <f t="shared" si="3"/>
        <v>-1.067831622781401</v>
      </c>
      <c r="S9" s="341">
        <f>(L9/(K9*(1+Inflation!E$9))-1)*100</f>
        <v>14.950683201274884</v>
      </c>
      <c r="T9" s="341">
        <f>(M9/(L9*(1+Inflation!F$9))-1)*100</f>
        <v>-4.9161980306171476</v>
      </c>
      <c r="U9" s="341">
        <f>(N9/(M9*(1+Inflation!G$9))-1)*100</f>
        <v>-2.616784099548519</v>
      </c>
      <c r="V9" s="251">
        <f>'[1]encours_CL'!C7/SUM('[1]encours_CL'!$C7:$D7)*100</f>
        <v>8.408785266902012</v>
      </c>
      <c r="W9" s="251">
        <f>'[1]encours_CL'!D7/SUM('[1]encours_CL'!$C7:$D7)*100</f>
        <v>91.59121473309798</v>
      </c>
    </row>
    <row r="10" spans="1:23" ht="26.25" customHeight="1">
      <c r="A10" s="100" t="s">
        <v>199</v>
      </c>
      <c r="B10" s="274">
        <f aca="true" t="shared" si="5" ref="B10:I10">B11+B14</f>
        <v>79218.783153</v>
      </c>
      <c r="C10" s="274">
        <f t="shared" si="5"/>
        <v>86733.286765</v>
      </c>
      <c r="D10" s="244">
        <f t="shared" si="5"/>
        <v>93834.164865</v>
      </c>
      <c r="E10" s="244">
        <f t="shared" si="5"/>
        <v>107281.96196799999</v>
      </c>
      <c r="F10" s="244">
        <f t="shared" si="5"/>
        <v>116684.301378</v>
      </c>
      <c r="G10" s="244">
        <f>G11+G14</f>
        <v>120877.820194</v>
      </c>
      <c r="H10" s="244">
        <f>H11+H14</f>
        <v>133691.018344</v>
      </c>
      <c r="I10" s="244">
        <f t="shared" si="5"/>
        <v>143903.42063999997</v>
      </c>
      <c r="J10" s="244">
        <f>J11+J14</f>
        <v>152323.921376</v>
      </c>
      <c r="K10" s="244">
        <f>K11+K14</f>
        <v>160962.504401</v>
      </c>
      <c r="L10" s="244">
        <f>L11+L14</f>
        <v>170504.634823</v>
      </c>
      <c r="M10" s="244">
        <f>M11+M14</f>
        <v>177846.29931</v>
      </c>
      <c r="N10" s="244">
        <f>SUM('[1]encoursRed_detail'!$H$8:$H$16)/1000000</f>
        <v>185883.18815970002</v>
      </c>
      <c r="O10" s="245">
        <f t="shared" si="1"/>
        <v>78.25590828094225</v>
      </c>
      <c r="P10" s="339">
        <f t="shared" si="2"/>
        <v>5.928169704807784</v>
      </c>
      <c r="Q10" s="339">
        <f t="shared" si="4"/>
        <v>4.305844527112912</v>
      </c>
      <c r="R10" s="339">
        <f t="shared" si="3"/>
        <v>4.519008200272467</v>
      </c>
      <c r="S10" s="339">
        <f>(L10/(K10*(1+Inflation!E$9))-1)*100</f>
        <v>5.286180797505913</v>
      </c>
      <c r="T10" s="339">
        <f>(M10/(L10*(1+Inflation!F$9))-1)*100</f>
        <v>3.076909687323659</v>
      </c>
      <c r="U10" s="339">
        <f>(N10/(M10*(1+Inflation!G$9))-1)*100</f>
        <v>2.8825841809002606</v>
      </c>
      <c r="V10" s="245">
        <f>SUM('[1]encours_CL'!C$8:C$16)/SUM('[1]encours_CL'!$C$8:$D$16)*100</f>
        <v>72.4968287378478</v>
      </c>
      <c r="W10" s="245">
        <f>SUM('[1]encours_CL'!D$8:D$16)/SUM('[1]encours_CL'!$C$8:$D$16)*100</f>
        <v>27.503171262152197</v>
      </c>
    </row>
    <row r="11" spans="1:23" ht="15" customHeight="1">
      <c r="A11" s="102" t="s">
        <v>200</v>
      </c>
      <c r="B11" s="275">
        <f aca="true" t="shared" si="6" ref="B11:I11">SUM(B12:B13)</f>
        <v>14826.414305999999</v>
      </c>
      <c r="C11" s="275">
        <f t="shared" si="6"/>
        <v>17165.557416</v>
      </c>
      <c r="D11" s="259">
        <f t="shared" si="6"/>
        <v>18934</v>
      </c>
      <c r="E11" s="259">
        <f t="shared" si="6"/>
        <v>22746.454094</v>
      </c>
      <c r="F11" s="259">
        <f t="shared" si="6"/>
        <v>25506.798683</v>
      </c>
      <c r="G11" s="259">
        <f>SUM(G12:G13)</f>
        <v>28522.408698</v>
      </c>
      <c r="H11" s="259">
        <f>SUM(H12:H13)</f>
        <v>31724.551077</v>
      </c>
      <c r="I11" s="259">
        <f t="shared" si="6"/>
        <v>35690.271479</v>
      </c>
      <c r="J11" s="259">
        <f>SUM(J12:J13)</f>
        <v>37532.113477</v>
      </c>
      <c r="K11" s="259">
        <f>SUM(K12:K13)</f>
        <v>40625.504813</v>
      </c>
      <c r="L11" s="259">
        <f>SUM(L12:L13)</f>
        <v>43226.877807</v>
      </c>
      <c r="M11" s="259">
        <f>SUM(M12:M13)</f>
        <v>45703.381087999995</v>
      </c>
      <c r="N11" s="264">
        <f>SUM('[1]encoursRed_detail'!$H$8:$H$9)/1000000</f>
        <v>49358.214762</v>
      </c>
      <c r="O11" s="260">
        <f t="shared" si="1"/>
        <v>20.779565734624832</v>
      </c>
      <c r="P11" s="342">
        <f t="shared" si="2"/>
        <v>6.403300109067378</v>
      </c>
      <c r="Q11" s="342">
        <f t="shared" si="4"/>
        <v>5.729082012485676</v>
      </c>
      <c r="R11" s="342">
        <f t="shared" si="3"/>
        <v>7.9968562215621875</v>
      </c>
      <c r="S11" s="342">
        <f>(L11/(K11*(1+Inflation!E$9))-1)*100</f>
        <v>5.758431623557869</v>
      </c>
      <c r="T11" s="342">
        <f>(M11/(L11*(1+Inflation!F$9))-1)*100</f>
        <v>4.483378542530025</v>
      </c>
      <c r="U11" s="342">
        <f>(N11/(M11*(1+Inflation!G$9))-1)*100</f>
        <v>6.30598053702629</v>
      </c>
      <c r="V11" s="260">
        <f>SUM('[1]encours_CL'!C$8:C$9)/SUM('[1]encours_CL'!$C$8:$D$9)*100</f>
        <v>76.75639871517238</v>
      </c>
      <c r="W11" s="260">
        <f>SUM('[1]encours_CL'!D$8:D$9)/SUM('[1]encours_CL'!$C$8:$D$9)*100</f>
        <v>23.243601284827616</v>
      </c>
    </row>
    <row r="12" spans="1:23" ht="15" customHeight="1">
      <c r="A12" s="91" t="s">
        <v>30</v>
      </c>
      <c r="B12" s="272">
        <v>12612.214306</v>
      </c>
      <c r="C12" s="272">
        <v>14704.457416</v>
      </c>
      <c r="D12" s="250">
        <v>16194</v>
      </c>
      <c r="E12" s="250">
        <v>19695.454094</v>
      </c>
      <c r="F12" s="250">
        <v>22119.798683</v>
      </c>
      <c r="G12" s="250">
        <v>24778.308698</v>
      </c>
      <c r="H12" s="250">
        <v>27646.851077</v>
      </c>
      <c r="I12" s="250">
        <v>31249.050035</v>
      </c>
      <c r="J12" s="250">
        <v>32738.113477</v>
      </c>
      <c r="K12" s="250">
        <v>35593.443538</v>
      </c>
      <c r="L12" s="250">
        <v>38007.877807</v>
      </c>
      <c r="M12" s="250">
        <v>40080.927373</v>
      </c>
      <c r="N12" s="250">
        <f>SUM('[1]encoursRed_detail'!$H8/1000000)</f>
        <v>42902.678812</v>
      </c>
      <c r="O12" s="251">
        <f t="shared" si="1"/>
        <v>18.061816839692487</v>
      </c>
      <c r="P12" s="341">
        <f t="shared" si="2"/>
        <v>6.783368027941217</v>
      </c>
      <c r="Q12" s="341">
        <f t="shared" si="4"/>
        <v>5.454262867626358</v>
      </c>
      <c r="R12" s="341">
        <f t="shared" si="3"/>
        <v>7.040135106506629</v>
      </c>
      <c r="S12" s="341">
        <f>(L12/(K12*(1+Inflation!E$9))-1)*100</f>
        <v>6.136196100499136</v>
      </c>
      <c r="T12" s="341">
        <f>(M12/(L12*(1+Inflation!F$9))-1)*100</f>
        <v>4.211797325739752</v>
      </c>
      <c r="U12" s="341">
        <f>(N12/(M12*(1+Inflation!G$9))-1)*100</f>
        <v>5.364238529020016</v>
      </c>
      <c r="V12" s="251">
        <f>'[1]encours_CL'!C8/SUM('[1]encours_CL'!$C8:$D8)*100</f>
        <v>76.18690211337329</v>
      </c>
      <c r="W12" s="251">
        <f>'[1]encours_CL'!D8/SUM('[1]encours_CL'!$C8:$D8)*100</f>
        <v>23.813097886626714</v>
      </c>
    </row>
    <row r="13" spans="1:23" ht="15" customHeight="1">
      <c r="A13" s="91" t="s">
        <v>40</v>
      </c>
      <c r="B13" s="272">
        <v>2214.2</v>
      </c>
      <c r="C13" s="272">
        <v>2461.1</v>
      </c>
      <c r="D13" s="250">
        <v>2740</v>
      </c>
      <c r="E13" s="250">
        <v>3051</v>
      </c>
      <c r="F13" s="250">
        <v>3387</v>
      </c>
      <c r="G13" s="250">
        <v>3744.1</v>
      </c>
      <c r="H13" s="250">
        <v>4077.7</v>
      </c>
      <c r="I13" s="250">
        <v>4441.221444</v>
      </c>
      <c r="J13" s="250">
        <v>4794</v>
      </c>
      <c r="K13" s="250">
        <v>5032.061275</v>
      </c>
      <c r="L13" s="250">
        <v>5219</v>
      </c>
      <c r="M13" s="250">
        <v>5622.453715</v>
      </c>
      <c r="N13" s="250">
        <f>SUM('[1]encoursRed_detail'!$H9/1000000)</f>
        <v>6455.53595</v>
      </c>
      <c r="O13" s="251">
        <f t="shared" si="1"/>
        <v>2.7177488949323427</v>
      </c>
      <c r="P13" s="341">
        <f t="shared" si="2"/>
        <v>3.7149532723048884</v>
      </c>
      <c r="Q13" s="341">
        <f t="shared" si="4"/>
        <v>7.730479306380533</v>
      </c>
      <c r="R13" s="341">
        <f t="shared" si="3"/>
        <v>14.81705812495071</v>
      </c>
      <c r="S13" s="341">
        <f>(L13/(K13*(1+Inflation!E$9))-1)*100</f>
        <v>3.0863777979272866</v>
      </c>
      <c r="T13" s="341">
        <f>(M13/(L13*(1+Inflation!F$9))-1)*100</f>
        <v>6.46119530866176</v>
      </c>
      <c r="U13" s="341">
        <f>(N13/(M13*(1+Inflation!G$9))-1)*100</f>
        <v>13.019400502814648</v>
      </c>
      <c r="V13" s="251">
        <f>'[1]encours_CL'!C9/SUM('[1]encours_CL'!$C9:$D9)*100</f>
        <v>80.32944621739733</v>
      </c>
      <c r="W13" s="251">
        <f>'[1]encours_CL'!D9/SUM('[1]encours_CL'!$C9:$D9)*100</f>
        <v>19.670553782602667</v>
      </c>
    </row>
    <row r="14" spans="1:23" ht="15" customHeight="1">
      <c r="A14" s="103" t="s">
        <v>201</v>
      </c>
      <c r="B14" s="276">
        <f aca="true" t="shared" si="7" ref="B14:L14">SUM(B15:B19)</f>
        <v>64392.368847</v>
      </c>
      <c r="C14" s="276">
        <f t="shared" si="7"/>
        <v>69567.729349</v>
      </c>
      <c r="D14" s="264">
        <f t="shared" si="7"/>
        <v>74900.164865</v>
      </c>
      <c r="E14" s="264">
        <f t="shared" si="7"/>
        <v>84535.50787399999</v>
      </c>
      <c r="F14" s="264">
        <f t="shared" si="7"/>
        <v>91177.502695</v>
      </c>
      <c r="G14" s="264">
        <f t="shared" si="7"/>
        <v>92355.411496</v>
      </c>
      <c r="H14" s="264">
        <f t="shared" si="7"/>
        <v>101966.467267</v>
      </c>
      <c r="I14" s="264">
        <f t="shared" si="7"/>
        <v>108213.14916099998</v>
      </c>
      <c r="J14" s="264">
        <f t="shared" si="7"/>
        <v>114791.807899</v>
      </c>
      <c r="K14" s="264">
        <f t="shared" si="7"/>
        <v>120336.999588</v>
      </c>
      <c r="L14" s="264">
        <f t="shared" si="7"/>
        <v>127277.757016</v>
      </c>
      <c r="M14" s="264">
        <f>SUM(M15:M19)</f>
        <v>132142.918222</v>
      </c>
      <c r="N14" s="264">
        <f>SUM('[1]encoursRed_detail'!$H$10:$H$16)/1000000</f>
        <v>136524.9733977</v>
      </c>
      <c r="O14" s="260">
        <f t="shared" si="1"/>
        <v>57.47634254631742</v>
      </c>
      <c r="P14" s="342">
        <f t="shared" si="2"/>
        <v>5.7677667315648495</v>
      </c>
      <c r="Q14" s="342">
        <f t="shared" si="4"/>
        <v>3.8224755998712334</v>
      </c>
      <c r="R14" s="342">
        <f t="shared" si="3"/>
        <v>3.316148329900015</v>
      </c>
      <c r="S14" s="342">
        <f>(L14/(K14*(1+Inflation!E$9))-1)*100</f>
        <v>5.126749963494759</v>
      </c>
      <c r="T14" s="342">
        <f>(M14/(L14*(1+Inflation!F$9))-1)*100</f>
        <v>2.5992358284441908</v>
      </c>
      <c r="U14" s="342">
        <f>(N14/(M14*(1+Inflation!G$9))-1)*100</f>
        <v>1.6985571412034162</v>
      </c>
      <c r="V14" s="260">
        <f>SUM('[1]encours_CL'!C$10:C$16)/SUM('[1]encours_CL'!$C$10:$D$16)*100</f>
        <v>70.94642784935708</v>
      </c>
      <c r="W14" s="260">
        <f>SUM('[1]encours_CL'!D$10:D$16)/SUM('[1]encours_CL'!$C$10:$D$16)*100</f>
        <v>29.05357215064291</v>
      </c>
    </row>
    <row r="15" spans="1:23" ht="15" customHeight="1">
      <c r="A15" s="91" t="s">
        <v>202</v>
      </c>
      <c r="B15" s="272">
        <v>907.904362</v>
      </c>
      <c r="C15" s="272">
        <v>1402</v>
      </c>
      <c r="D15" s="250">
        <v>1859</v>
      </c>
      <c r="E15" s="250">
        <v>3000</v>
      </c>
      <c r="F15" s="250">
        <v>4000</v>
      </c>
      <c r="G15" s="250">
        <v>5000</v>
      </c>
      <c r="H15" s="250">
        <v>6700</v>
      </c>
      <c r="I15" s="250">
        <v>8600</v>
      </c>
      <c r="J15" s="250">
        <v>10300</v>
      </c>
      <c r="K15" s="250">
        <v>12200</v>
      </c>
      <c r="L15" s="250">
        <v>14000</v>
      </c>
      <c r="M15" s="250">
        <v>15900</v>
      </c>
      <c r="N15" s="250">
        <f>'[1]encoursRed_detail'!$H10/1000000</f>
        <v>16483.522142</v>
      </c>
      <c r="O15" s="251">
        <f t="shared" si="1"/>
        <v>6.939481777034066</v>
      </c>
      <c r="P15" s="341">
        <f t="shared" si="2"/>
        <v>14.754098360655732</v>
      </c>
      <c r="Q15" s="341">
        <f t="shared" si="4"/>
        <v>13.571428571428568</v>
      </c>
      <c r="R15" s="341">
        <f t="shared" si="3"/>
        <v>3.6699505786163655</v>
      </c>
      <c r="S15" s="341">
        <f>(L15/(K15*(1+Inflation!E$9))-1)*100</f>
        <v>14.058618976651772</v>
      </c>
      <c r="T15" s="341">
        <f>(M15/(L15*(1+Inflation!F$9))-1)*100</f>
        <v>12.233326320218808</v>
      </c>
      <c r="U15" s="341">
        <f>(N15/(M15*(1+Inflation!G$9))-1)*100</f>
        <v>2.046820009974648</v>
      </c>
      <c r="V15" s="251">
        <f>'[1]encours_CL'!C10/SUM('[1]encours_CL'!$C10:$D10)*100</f>
        <v>100</v>
      </c>
      <c r="W15" s="251">
        <f>'[1]encours_CL'!D10/SUM('[1]encours_CL'!$C10:$D10)*100</f>
        <v>0</v>
      </c>
    </row>
    <row r="16" spans="1:23" ht="15" customHeight="1">
      <c r="A16" s="91" t="s">
        <v>84</v>
      </c>
      <c r="B16" s="272">
        <v>21388.664301</v>
      </c>
      <c r="C16" s="272">
        <v>25188.636404</v>
      </c>
      <c r="D16" s="250">
        <v>26317.989295</v>
      </c>
      <c r="E16" s="250">
        <v>31135.594994</v>
      </c>
      <c r="F16" s="250">
        <v>32816.327304</v>
      </c>
      <c r="G16" s="250">
        <v>30214.168101</v>
      </c>
      <c r="H16" s="250">
        <v>34814.182966</v>
      </c>
      <c r="I16" s="250">
        <v>36182.258291</v>
      </c>
      <c r="J16" s="250">
        <v>38097.263942</v>
      </c>
      <c r="K16" s="250">
        <v>39418.6007</v>
      </c>
      <c r="L16" s="250">
        <v>40261.363879</v>
      </c>
      <c r="M16" s="250">
        <v>40935.0532</v>
      </c>
      <c r="N16" s="250">
        <f>'[1]encoursRed_detail'!$H11/1000000</f>
        <v>41530.457030699996</v>
      </c>
      <c r="O16" s="261">
        <f t="shared" si="1"/>
        <v>17.48411821658588</v>
      </c>
      <c r="P16" s="343">
        <f t="shared" si="2"/>
        <v>2.1379835002615755</v>
      </c>
      <c r="Q16" s="343">
        <f t="shared" si="4"/>
        <v>1.6732898642596528</v>
      </c>
      <c r="R16" s="343">
        <f t="shared" si="3"/>
        <v>1.4545085059276097</v>
      </c>
      <c r="S16" s="343">
        <f>(L16/(K16*(1+Inflation!E$9))-1)*100</f>
        <v>1.5189654184418089</v>
      </c>
      <c r="T16" s="343">
        <f>(M16/(L16*(1+Inflation!F$9))-1)*100</f>
        <v>0.4753718688044639</v>
      </c>
      <c r="U16" s="343">
        <f>(N16/(M16*(1+Inflation!G$9))-1)*100</f>
        <v>-0.1339355240289275</v>
      </c>
      <c r="V16" s="261">
        <f>'[1]encours_CL'!C11/SUM('[1]encours_CL'!$C11:$D11)*100</f>
        <v>61.56657007824305</v>
      </c>
      <c r="W16" s="261">
        <f>'[1]encours_CL'!D11/SUM('[1]encours_CL'!$C11:$D11)*100</f>
        <v>38.43342992175695</v>
      </c>
    </row>
    <row r="17" spans="1:23" ht="15" customHeight="1">
      <c r="A17" s="91" t="s">
        <v>85</v>
      </c>
      <c r="B17" s="272">
        <v>3418.795812</v>
      </c>
      <c r="C17" s="272">
        <v>4219.690061</v>
      </c>
      <c r="D17" s="250">
        <v>3264.254299</v>
      </c>
      <c r="E17" s="250">
        <v>2915.352702</v>
      </c>
      <c r="F17" s="250">
        <v>2107.491257</v>
      </c>
      <c r="G17" s="250">
        <v>3379.800702</v>
      </c>
      <c r="H17" s="250">
        <v>3636.847821</v>
      </c>
      <c r="I17" s="250">
        <v>4040.955937</v>
      </c>
      <c r="J17" s="250">
        <v>3961.528932</v>
      </c>
      <c r="K17" s="250">
        <v>4161.023998</v>
      </c>
      <c r="L17" s="250">
        <v>4181.103212</v>
      </c>
      <c r="M17" s="250">
        <v>4549.772605</v>
      </c>
      <c r="N17" s="250">
        <f>'[1]encoursRed_detail'!$H12/1000000</f>
        <v>4285.8988</v>
      </c>
      <c r="O17" s="251">
        <f t="shared" si="1"/>
        <v>1.8043423222655668</v>
      </c>
      <c r="P17" s="341">
        <f t="shared" si="2"/>
        <v>0.48255463101514184</v>
      </c>
      <c r="Q17" s="341">
        <f t="shared" si="4"/>
        <v>8.817514763613076</v>
      </c>
      <c r="R17" s="341">
        <f t="shared" si="3"/>
        <v>-5.7997141375816135</v>
      </c>
      <c r="S17" s="341">
        <f>(L17/(K17*(1+Inflation!E$9))-1)*100</f>
        <v>-0.12643054856676939</v>
      </c>
      <c r="T17" s="341">
        <f>(M17/(L17*(1+Inflation!F$9))-1)*100</f>
        <v>7.535423278916609</v>
      </c>
      <c r="U17" s="341">
        <f>(N17/(M17*(1+Inflation!G$9))-1)*100</f>
        <v>-7.274580892168614</v>
      </c>
      <c r="V17" s="251">
        <f>'[1]encours_CL'!C12/SUM('[1]encours_CL'!$C12:$D12)*100</f>
        <v>85.64468227761233</v>
      </c>
      <c r="W17" s="251">
        <f>'[1]encours_CL'!D12/SUM('[1]encours_CL'!$C12:$D12)*100</f>
        <v>14.355317722387658</v>
      </c>
    </row>
    <row r="18" spans="1:23" ht="15" customHeight="1">
      <c r="A18" s="91" t="s">
        <v>133</v>
      </c>
      <c r="B18" s="272">
        <v>38517.626368</v>
      </c>
      <c r="C18" s="272">
        <v>38549.043880000005</v>
      </c>
      <c r="D18" s="250">
        <v>43186.143932</v>
      </c>
      <c r="E18" s="250">
        <v>47150.492498</v>
      </c>
      <c r="F18" s="250">
        <v>51836.053378</v>
      </c>
      <c r="G18" s="250">
        <v>53270.323114</v>
      </c>
      <c r="H18" s="250">
        <v>56328.853653</v>
      </c>
      <c r="I18" s="250">
        <v>58929.951028999996</v>
      </c>
      <c r="J18" s="250">
        <v>61928.612758</v>
      </c>
      <c r="K18" s="250">
        <v>63997.870207</v>
      </c>
      <c r="L18" s="250">
        <v>68113.493558</v>
      </c>
      <c r="M18" s="250">
        <v>69972.13952</v>
      </c>
      <c r="N18" s="250">
        <f>SUM('[1]encoursRed_detail'!$H$13,'[1]encoursRed_detail'!$H$15:$H$16)/1000000</f>
        <v>73433.875035</v>
      </c>
      <c r="O18" s="251">
        <f t="shared" si="1"/>
        <v>30.915300336445494</v>
      </c>
      <c r="P18" s="341">
        <f t="shared" si="2"/>
        <v>6.43087549271264</v>
      </c>
      <c r="Q18" s="341">
        <f t="shared" si="4"/>
        <v>2.7287485414579704</v>
      </c>
      <c r="R18" s="341">
        <f t="shared" si="3"/>
        <v>4.947305511517985</v>
      </c>
      <c r="S18" s="341">
        <f>(L18/(K18*(1+Inflation!E$9))-1)*100</f>
        <v>5.7858398836659</v>
      </c>
      <c r="T18" s="341">
        <f>(M18/(L18*(1+Inflation!F$9))-1)*100</f>
        <v>1.5183950976705551</v>
      </c>
      <c r="U18" s="341">
        <f>(N18/(M18*(1+Inflation!G$9))-1)*100</f>
        <v>3.3041757644544756</v>
      </c>
      <c r="V18" s="251">
        <f>'[1]encours_CL'!C13/SUM('[1]encours_CL'!$C13:$D13)*100</f>
        <v>67.55775982984397</v>
      </c>
      <c r="W18" s="251">
        <f>'[1]encours_CL'!D13/SUM('[1]encours_CL'!$C13:$D13)*100</f>
        <v>32.44224017015602</v>
      </c>
    </row>
    <row r="19" spans="1:23" ht="15" customHeight="1">
      <c r="A19" s="91" t="s">
        <v>64</v>
      </c>
      <c r="B19" s="272">
        <v>159.378004</v>
      </c>
      <c r="C19" s="272">
        <v>208.359004</v>
      </c>
      <c r="D19" s="250">
        <v>272.777339</v>
      </c>
      <c r="E19" s="250">
        <v>334.06768</v>
      </c>
      <c r="F19" s="250">
        <v>417.630756</v>
      </c>
      <c r="G19" s="250">
        <v>491.119579</v>
      </c>
      <c r="H19" s="250">
        <v>486.582827</v>
      </c>
      <c r="I19" s="250">
        <v>459.983904</v>
      </c>
      <c r="J19" s="250">
        <v>504.402267</v>
      </c>
      <c r="K19" s="250">
        <v>559.504683</v>
      </c>
      <c r="L19" s="250">
        <v>721.796367</v>
      </c>
      <c r="M19" s="250">
        <v>785.952897</v>
      </c>
      <c r="N19" s="250">
        <f>'[1]encoursRed_detail'!$H$14/1000000</f>
        <v>791.22039</v>
      </c>
      <c r="O19" s="251">
        <f t="shared" si="1"/>
        <v>0.3330998939864066</v>
      </c>
      <c r="P19" s="341">
        <f t="shared" si="2"/>
        <v>29.006313786295877</v>
      </c>
      <c r="Q19" s="341">
        <f t="shared" si="4"/>
        <v>8.888452884108244</v>
      </c>
      <c r="R19" s="341">
        <f t="shared" si="3"/>
        <v>0.6702046674942119</v>
      </c>
      <c r="S19" s="341">
        <f>(L19/(K19*(1+Inflation!E$9))-1)*100</f>
        <v>28.22445733910619</v>
      </c>
      <c r="T19" s="341">
        <f>(M19/(L19*(1+Inflation!F$9))-1)*100</f>
        <v>7.605525604177665</v>
      </c>
      <c r="U19" s="341">
        <f>(N19/(M19*(1+Inflation!G$9))-1)*100</f>
        <v>-0.9059597430725375</v>
      </c>
      <c r="V19" s="251">
        <f>'[1]encours_CL'!C14/SUM('[1]encours_CL'!$C14:$D14)*100</f>
        <v>94.55954288539</v>
      </c>
      <c r="W19" s="251">
        <f>'[1]encours_CL'!D14/SUM('[1]encours_CL'!$C14:$D14)*100</f>
        <v>5.440457114610001</v>
      </c>
    </row>
    <row r="20" spans="1:23" ht="15" customHeight="1">
      <c r="A20" s="100" t="s">
        <v>41</v>
      </c>
      <c r="B20" s="244">
        <f aca="true" t="shared" si="8" ref="B20:I20">B5+B10</f>
        <v>100688.361322</v>
      </c>
      <c r="C20" s="244">
        <f t="shared" si="8"/>
        <v>113528.15925435317</v>
      </c>
      <c r="D20" s="277">
        <f t="shared" si="8"/>
        <v>122532.21739703223</v>
      </c>
      <c r="E20" s="277">
        <f t="shared" si="8"/>
        <v>138894.45493959912</v>
      </c>
      <c r="F20" s="277">
        <f t="shared" si="8"/>
        <v>151084.067356</v>
      </c>
      <c r="G20" s="277">
        <f>G5+G10</f>
        <v>156688.897505</v>
      </c>
      <c r="H20" s="277">
        <f>H5+H10</f>
        <v>170995.784172</v>
      </c>
      <c r="I20" s="277">
        <f t="shared" si="8"/>
        <v>184437.28613699996</v>
      </c>
      <c r="J20" s="277">
        <f>J5+J10</f>
        <v>195479.851131</v>
      </c>
      <c r="K20" s="277">
        <f>K5+K10</f>
        <v>206683.886025</v>
      </c>
      <c r="L20" s="277">
        <f>L5+L10</f>
        <v>219365.106736</v>
      </c>
      <c r="M20" s="277">
        <f>M5+M10</f>
        <v>228935.484137</v>
      </c>
      <c r="N20" s="277">
        <f>SUM('[1]encoursRed_detail'!$H$4:$H$16)/1000000</f>
        <v>237532.46527070002</v>
      </c>
      <c r="O20" s="356">
        <f t="shared" si="1"/>
        <v>100</v>
      </c>
      <c r="P20" s="344">
        <f t="shared" si="2"/>
        <v>6.135563325660565</v>
      </c>
      <c r="Q20" s="344">
        <f t="shared" si="4"/>
        <v>4.362761946692695</v>
      </c>
      <c r="R20" s="344">
        <f t="shared" si="3"/>
        <v>3.755198180005781</v>
      </c>
      <c r="S20" s="344">
        <f>(L20/(K20*(1+Inflation!E$9))-1)*100</f>
        <v>5.492317487323217</v>
      </c>
      <c r="T20" s="344">
        <f>(M20/(L20*(1+Inflation!F$9))-1)*100</f>
        <v>3.1331565040217946</v>
      </c>
      <c r="U20" s="344">
        <f>(N20/(M20*(1+Inflation!G$9))-1)*100</f>
        <v>2.1307329142127074</v>
      </c>
      <c r="V20" s="356">
        <f>SUM('[1]encours_CL'!C$4:C$16)/SUM('[1]encours_CL'!$C$4:$D$16)*100</f>
        <v>72.74628155597487</v>
      </c>
      <c r="W20" s="356">
        <f>SUM('[1]encours_CL'!D$4:D$16)/SUM('[1]encours_CL'!$C$4:$D$16)*100</f>
        <v>27.25371844402512</v>
      </c>
    </row>
    <row r="21" spans="1:22" ht="11.25">
      <c r="A21" s="19"/>
      <c r="B21" s="33"/>
      <c r="C21" s="33"/>
      <c r="D21" s="33"/>
      <c r="E21" s="33"/>
      <c r="F21" s="33"/>
      <c r="G21" s="33"/>
      <c r="H21" s="33"/>
      <c r="I21" s="33"/>
      <c r="J21" s="33"/>
      <c r="K21" s="33"/>
      <c r="L21" s="33"/>
      <c r="M21" s="33"/>
      <c r="N21" s="33"/>
      <c r="O21" s="211"/>
      <c r="P21" s="211"/>
      <c r="Q21" s="211"/>
      <c r="R21" s="211"/>
      <c r="S21" s="211"/>
      <c r="T21" s="211"/>
      <c r="U21" s="4"/>
      <c r="V21" s="4"/>
    </row>
    <row r="22" spans="1:17" ht="27" customHeight="1">
      <c r="A22" s="415"/>
      <c r="B22" s="415"/>
      <c r="C22" s="415"/>
      <c r="D22" s="415"/>
      <c r="E22" s="415"/>
      <c r="F22" s="415"/>
      <c r="G22" s="415"/>
      <c r="H22" s="415"/>
      <c r="I22" s="415"/>
      <c r="J22" s="415"/>
      <c r="K22" s="415"/>
      <c r="L22" s="415"/>
      <c r="M22" s="415"/>
      <c r="N22" s="415"/>
      <c r="O22" s="415"/>
      <c r="P22" s="415"/>
      <c r="Q22" s="415"/>
    </row>
    <row r="23" spans="1:17" ht="24.75" customHeight="1">
      <c r="A23" s="415"/>
      <c r="B23" s="415"/>
      <c r="C23" s="415"/>
      <c r="D23" s="415"/>
      <c r="E23" s="415"/>
      <c r="F23" s="415"/>
      <c r="G23" s="415"/>
      <c r="H23" s="415"/>
      <c r="I23" s="415"/>
      <c r="J23" s="415"/>
      <c r="K23" s="415"/>
      <c r="L23" s="415"/>
      <c r="M23" s="415"/>
      <c r="N23" s="415"/>
      <c r="O23" s="415"/>
      <c r="P23" s="415"/>
      <c r="Q23" s="415"/>
    </row>
    <row r="26" spans="1:14" ht="11.25" customHeight="1">
      <c r="A26" s="14"/>
      <c r="B26" s="14"/>
      <c r="C26" s="14"/>
      <c r="D26" s="14"/>
      <c r="E26" s="14"/>
      <c r="F26" s="14"/>
      <c r="G26" s="14"/>
      <c r="H26" s="14"/>
      <c r="I26" s="14"/>
      <c r="J26" s="14"/>
      <c r="K26" s="14"/>
      <c r="L26" s="14"/>
      <c r="M26" s="14"/>
      <c r="N26" s="14"/>
    </row>
    <row r="27" spans="1:14" ht="11.25" customHeight="1">
      <c r="A27" s="14"/>
      <c r="B27" s="14"/>
      <c r="C27" s="14"/>
      <c r="D27" s="14"/>
      <c r="E27" s="14"/>
      <c r="F27" s="14"/>
      <c r="G27" s="14"/>
      <c r="H27" s="14"/>
      <c r="I27" s="14"/>
      <c r="J27" s="14"/>
      <c r="K27" s="14"/>
      <c r="L27" s="14"/>
      <c r="M27" s="14"/>
      <c r="N27" s="14"/>
    </row>
    <row r="30" spans="1:14" ht="11.25">
      <c r="A30" s="4"/>
      <c r="B30" s="4"/>
      <c r="I30" s="4"/>
      <c r="J30" s="4"/>
      <c r="K30" s="4"/>
      <c r="L30" s="4"/>
      <c r="M30" s="4"/>
      <c r="N30" s="4"/>
    </row>
    <row r="31" spans="1:14" ht="11.25">
      <c r="A31" s="4"/>
      <c r="B31" s="4"/>
      <c r="I31" s="4"/>
      <c r="J31" s="4"/>
      <c r="K31" s="4"/>
      <c r="L31" s="4"/>
      <c r="M31" s="4"/>
      <c r="N31" s="4"/>
    </row>
    <row r="32" spans="1:14" ht="11.25">
      <c r="A32" s="4"/>
      <c r="B32" s="33"/>
      <c r="C32" s="33"/>
      <c r="D32" s="33"/>
      <c r="E32" s="33"/>
      <c r="F32" s="33"/>
      <c r="G32" s="33"/>
      <c r="H32" s="33"/>
      <c r="I32" s="33"/>
      <c r="J32" s="33"/>
      <c r="K32" s="33"/>
      <c r="L32" s="33"/>
      <c r="M32" s="26"/>
      <c r="N32" s="26"/>
    </row>
    <row r="33" spans="1:14" ht="11.25">
      <c r="A33" s="23"/>
      <c r="B33" s="4"/>
      <c r="C33" s="4"/>
      <c r="D33" s="73"/>
      <c r="E33" s="4"/>
      <c r="I33" s="26"/>
      <c r="J33" s="26"/>
      <c r="K33" s="26"/>
      <c r="L33" s="26"/>
      <c r="M33" s="26"/>
      <c r="N33" s="26"/>
    </row>
    <row r="34" spans="1:16" ht="11.25">
      <c r="A34" s="20"/>
      <c r="B34" s="26"/>
      <c r="C34" s="26"/>
      <c r="D34" s="73"/>
      <c r="E34" s="4"/>
      <c r="I34" s="26"/>
      <c r="J34" s="26"/>
      <c r="K34" s="26"/>
      <c r="L34" s="26"/>
      <c r="M34" s="26"/>
      <c r="N34" s="26"/>
      <c r="O34" s="1"/>
      <c r="P34" s="1"/>
    </row>
    <row r="35" spans="1:14" ht="15.75" customHeight="1">
      <c r="A35" s="20"/>
      <c r="B35" s="4"/>
      <c r="C35" s="4"/>
      <c r="D35" s="73"/>
      <c r="E35" s="4"/>
      <c r="I35" s="26"/>
      <c r="J35" s="26"/>
      <c r="K35" s="26"/>
      <c r="L35" s="26"/>
      <c r="M35" s="26"/>
      <c r="N35" s="26"/>
    </row>
    <row r="36" spans="1:14" ht="11.25">
      <c r="A36" s="20"/>
      <c r="B36" s="4"/>
      <c r="C36" s="46"/>
      <c r="D36" s="46"/>
      <c r="E36" s="46"/>
      <c r="I36" s="26"/>
      <c r="J36" s="26"/>
      <c r="K36" s="26"/>
      <c r="L36" s="26"/>
      <c r="M36" s="26"/>
      <c r="N36" s="26"/>
    </row>
    <row r="37" spans="1:14" ht="11.25">
      <c r="A37" s="20"/>
      <c r="B37" s="4"/>
      <c r="C37" s="46"/>
      <c r="D37" s="46"/>
      <c r="E37" s="46"/>
      <c r="I37" s="26"/>
      <c r="J37" s="26"/>
      <c r="K37" s="26"/>
      <c r="L37" s="26"/>
      <c r="M37" s="26"/>
      <c r="N37" s="26"/>
    </row>
    <row r="38" spans="1:14" ht="11.25">
      <c r="A38" s="23"/>
      <c r="B38" s="4"/>
      <c r="C38" s="46"/>
      <c r="D38" s="46"/>
      <c r="E38" s="46"/>
      <c r="G38" s="46"/>
      <c r="H38" s="46"/>
      <c r="I38" s="26"/>
      <c r="J38" s="26"/>
      <c r="K38" s="26"/>
      <c r="L38" s="26"/>
      <c r="M38" s="26"/>
      <c r="N38" s="26"/>
    </row>
    <row r="39" spans="1:14" ht="11.25">
      <c r="A39" s="48"/>
      <c r="B39" s="4"/>
      <c r="C39" s="46"/>
      <c r="D39" s="46"/>
      <c r="E39" s="46"/>
      <c r="G39" s="46"/>
      <c r="H39" s="46"/>
      <c r="I39" s="26"/>
      <c r="J39" s="26"/>
      <c r="K39" s="26"/>
      <c r="L39" s="26"/>
      <c r="M39" s="26"/>
      <c r="N39" s="26"/>
    </row>
    <row r="40" spans="1:14" ht="11.25">
      <c r="A40" s="75"/>
      <c r="B40" s="76"/>
      <c r="C40" s="4"/>
      <c r="D40" s="46"/>
      <c r="E40" s="46"/>
      <c r="G40" s="46"/>
      <c r="H40" s="46"/>
      <c r="I40" s="26"/>
      <c r="J40" s="26"/>
      <c r="K40" s="26"/>
      <c r="L40" s="26"/>
      <c r="M40" s="26"/>
      <c r="N40" s="26"/>
    </row>
    <row r="41" spans="1:14" ht="11.25">
      <c r="A41" s="75"/>
      <c r="B41" s="76"/>
      <c r="C41" s="4"/>
      <c r="D41" s="46"/>
      <c r="E41" s="46"/>
      <c r="G41" s="46"/>
      <c r="H41" s="46"/>
      <c r="I41" s="26"/>
      <c r="J41" s="26"/>
      <c r="K41" s="26"/>
      <c r="L41" s="26"/>
      <c r="M41" s="26"/>
      <c r="N41" s="26"/>
    </row>
    <row r="42" spans="1:14" ht="11.25">
      <c r="A42" s="75"/>
      <c r="B42" s="76"/>
      <c r="C42" s="4"/>
      <c r="D42" s="46"/>
      <c r="E42" s="46"/>
      <c r="G42" s="46"/>
      <c r="H42" s="46"/>
      <c r="I42" s="26"/>
      <c r="J42" s="26"/>
      <c r="K42" s="26"/>
      <c r="L42" s="26"/>
      <c r="M42" s="26"/>
      <c r="N42" s="26"/>
    </row>
    <row r="43" spans="1:14" ht="11.25">
      <c r="A43" s="77"/>
      <c r="B43" s="76"/>
      <c r="C43" s="4"/>
      <c r="D43" s="74"/>
      <c r="E43" s="74"/>
      <c r="G43" s="74"/>
      <c r="H43" s="74"/>
      <c r="I43" s="26"/>
      <c r="J43" s="26"/>
      <c r="K43" s="26"/>
      <c r="L43" s="26"/>
      <c r="M43" s="26"/>
      <c r="N43" s="26"/>
    </row>
    <row r="44" spans="1:14" ht="11.25">
      <c r="A44" s="78"/>
      <c r="B44" s="76"/>
      <c r="C44" s="4"/>
      <c r="D44" s="46"/>
      <c r="E44" s="46"/>
      <c r="G44" s="46"/>
      <c r="H44" s="46"/>
      <c r="I44" s="26"/>
      <c r="J44" s="26"/>
      <c r="K44" s="26"/>
      <c r="L44" s="26"/>
      <c r="M44" s="26"/>
      <c r="N44" s="26"/>
    </row>
    <row r="45" spans="1:14" ht="11.25">
      <c r="A45" s="75"/>
      <c r="B45" s="76"/>
      <c r="C45" s="4"/>
      <c r="D45" s="4"/>
      <c r="E45" s="4"/>
      <c r="G45" s="4"/>
      <c r="H45" s="4"/>
      <c r="I45" s="26"/>
      <c r="J45" s="26"/>
      <c r="K45" s="26"/>
      <c r="L45" s="26"/>
      <c r="M45" s="26"/>
      <c r="N45" s="26"/>
    </row>
    <row r="46" spans="1:14" ht="11.25">
      <c r="A46" s="75"/>
      <c r="B46" s="76"/>
      <c r="C46" s="4"/>
      <c r="D46" s="4"/>
      <c r="E46" s="4"/>
      <c r="G46" s="4"/>
      <c r="H46" s="4"/>
      <c r="I46" s="26"/>
      <c r="J46" s="26"/>
      <c r="K46" s="26"/>
      <c r="L46" s="26"/>
      <c r="M46" s="26"/>
      <c r="N46" s="26"/>
    </row>
    <row r="47" spans="1:14" ht="11.25">
      <c r="A47" s="79"/>
      <c r="B47" s="80"/>
      <c r="C47" s="4"/>
      <c r="D47" s="4"/>
      <c r="E47" s="4"/>
      <c r="F47" s="4"/>
      <c r="G47" s="4"/>
      <c r="H47" s="4"/>
      <c r="I47" s="26"/>
      <c r="J47" s="26"/>
      <c r="K47" s="26"/>
      <c r="L47" s="26"/>
      <c r="M47" s="26"/>
      <c r="N47" s="26"/>
    </row>
    <row r="48" spans="1:14" ht="11.25">
      <c r="A48" s="75"/>
      <c r="B48" s="76"/>
      <c r="C48" s="4"/>
      <c r="D48" s="4"/>
      <c r="E48" s="4"/>
      <c r="F48" s="4"/>
      <c r="G48" s="4"/>
      <c r="H48" s="4"/>
      <c r="I48" s="26"/>
      <c r="J48" s="26"/>
      <c r="K48" s="26"/>
      <c r="L48" s="26"/>
      <c r="M48" s="26"/>
      <c r="N48" s="26"/>
    </row>
    <row r="49" spans="1:14" ht="11.25">
      <c r="A49" s="75"/>
      <c r="B49" s="76"/>
      <c r="C49" s="4"/>
      <c r="D49" s="4"/>
      <c r="E49" s="4"/>
      <c r="F49" s="4"/>
      <c r="G49" s="4"/>
      <c r="H49" s="4"/>
      <c r="I49" s="4"/>
      <c r="J49" s="4"/>
      <c r="K49" s="4"/>
      <c r="L49" s="4"/>
      <c r="M49" s="4"/>
      <c r="N49" s="4"/>
    </row>
    <row r="50" spans="1:14" ht="11.25">
      <c r="A50" s="75"/>
      <c r="B50" s="76"/>
      <c r="C50" s="4"/>
      <c r="D50" s="4"/>
      <c r="E50" s="4"/>
      <c r="F50" s="4"/>
      <c r="G50" s="4"/>
      <c r="H50" s="4"/>
      <c r="I50" s="4"/>
      <c r="J50" s="4"/>
      <c r="K50" s="4"/>
      <c r="L50" s="4"/>
      <c r="M50" s="4"/>
      <c r="N50" s="4"/>
    </row>
    <row r="51" spans="1:14" ht="11.25">
      <c r="A51" s="75"/>
      <c r="B51" s="76"/>
      <c r="C51" s="4"/>
      <c r="D51" s="4"/>
      <c r="E51" s="4"/>
      <c r="F51" s="4"/>
      <c r="G51" s="4"/>
      <c r="H51" s="4"/>
      <c r="I51" s="4"/>
      <c r="J51" s="4"/>
      <c r="K51" s="4"/>
      <c r="L51" s="4"/>
      <c r="M51" s="4"/>
      <c r="N51" s="4"/>
    </row>
    <row r="52" spans="1:8" ht="11.25">
      <c r="A52" s="75"/>
      <c r="B52" s="76"/>
      <c r="C52" s="4"/>
      <c r="D52" s="4"/>
      <c r="E52" s="4"/>
      <c r="F52" s="4"/>
      <c r="G52" s="4"/>
      <c r="H52" s="4"/>
    </row>
    <row r="53" spans="1:8" ht="11.25">
      <c r="A53" s="75"/>
      <c r="B53" s="76"/>
      <c r="C53" s="4"/>
      <c r="D53" s="4"/>
      <c r="E53" s="4"/>
      <c r="F53" s="4"/>
      <c r="G53" s="4"/>
      <c r="H53" s="4"/>
    </row>
    <row r="54" spans="1:8" ht="11.25">
      <c r="A54" s="4"/>
      <c r="B54" s="4"/>
      <c r="C54" s="4"/>
      <c r="D54" s="4"/>
      <c r="E54" s="4"/>
      <c r="F54" s="4"/>
      <c r="G54" s="4"/>
      <c r="H54" s="4"/>
    </row>
    <row r="55" spans="1:8" ht="11.25">
      <c r="A55" s="4"/>
      <c r="B55" s="4"/>
      <c r="C55" s="4"/>
      <c r="D55" s="4"/>
      <c r="E55" s="4"/>
      <c r="F55" s="4"/>
      <c r="G55" s="4"/>
      <c r="H55" s="4"/>
    </row>
    <row r="56" spans="1:8" ht="11.25">
      <c r="A56" s="4"/>
      <c r="B56" s="4"/>
      <c r="C56" s="4"/>
      <c r="D56" s="4"/>
      <c r="E56" s="4"/>
      <c r="F56" s="4"/>
      <c r="G56" s="4"/>
      <c r="H56" s="4"/>
    </row>
  </sheetData>
  <sheetProtection/>
  <mergeCells count="7">
    <mergeCell ref="V3:W3"/>
    <mergeCell ref="A22:Q22"/>
    <mergeCell ref="A23:Q23"/>
    <mergeCell ref="A3:A4"/>
    <mergeCell ref="P3:R3"/>
    <mergeCell ref="S3:U3"/>
    <mergeCell ref="B3:N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B2:O52"/>
  <sheetViews>
    <sheetView zoomScalePageLayoutView="0" workbookViewId="0" topLeftCell="A1">
      <selection activeCell="O6" sqref="O6"/>
    </sheetView>
  </sheetViews>
  <sheetFormatPr defaultColWidth="11.421875" defaultRowHeight="12.75"/>
  <cols>
    <col min="1" max="1" width="3.7109375" style="145" customWidth="1"/>
    <col min="2" max="2" width="53.8515625" style="145" customWidth="1"/>
    <col min="3" max="5" width="7.140625" style="145" customWidth="1"/>
    <col min="6" max="6" width="7.7109375" style="145" customWidth="1"/>
    <col min="7" max="7" width="7.140625" style="145" customWidth="1"/>
    <col min="8" max="9" width="7.140625" style="146" customWidth="1"/>
    <col min="10" max="10" width="7.7109375" style="146" customWidth="1"/>
    <col min="11" max="13" width="7.140625" style="145" customWidth="1"/>
    <col min="14" max="14" width="7.7109375" style="145" customWidth="1"/>
    <col min="15" max="16384" width="11.421875" style="145" customWidth="1"/>
  </cols>
  <sheetData>
    <row r="2" spans="2:13" ht="12.75" customHeight="1">
      <c r="B2" s="431" t="s">
        <v>174</v>
      </c>
      <c r="C2" s="431"/>
      <c r="D2" s="431"/>
      <c r="E2" s="431"/>
      <c r="F2" s="431"/>
      <c r="G2" s="431"/>
      <c r="H2" s="431"/>
      <c r="I2" s="431"/>
      <c r="J2" s="431"/>
      <c r="K2" s="431"/>
      <c r="L2" s="431"/>
      <c r="M2" s="431"/>
    </row>
    <row r="3" spans="2:13" ht="12.75" customHeight="1">
      <c r="B3" s="431"/>
      <c r="C3" s="431"/>
      <c r="D3" s="431"/>
      <c r="E3" s="431"/>
      <c r="F3" s="431"/>
      <c r="G3" s="431"/>
      <c r="H3" s="431"/>
      <c r="I3" s="431"/>
      <c r="J3" s="431"/>
      <c r="K3" s="431"/>
      <c r="L3" s="431"/>
      <c r="M3" s="431"/>
    </row>
    <row r="4" ht="11.25">
      <c r="B4" s="147"/>
    </row>
    <row r="5" spans="2:14" ht="39.75" customHeight="1">
      <c r="B5" s="432"/>
      <c r="C5" s="421" t="s">
        <v>255</v>
      </c>
      <c r="D5" s="422"/>
      <c r="E5" s="422"/>
      <c r="F5" s="422"/>
      <c r="G5" s="422"/>
      <c r="H5" s="422"/>
      <c r="I5" s="422"/>
      <c r="J5" s="422"/>
      <c r="K5" s="422"/>
      <c r="L5" s="422"/>
      <c r="M5" s="422"/>
      <c r="N5" s="423"/>
    </row>
    <row r="6" spans="2:14" ht="38.25" customHeight="1">
      <c r="B6" s="433"/>
      <c r="C6" s="421" t="s">
        <v>117</v>
      </c>
      <c r="D6" s="422"/>
      <c r="E6" s="422"/>
      <c r="F6" s="423"/>
      <c r="G6" s="421" t="s">
        <v>118</v>
      </c>
      <c r="H6" s="422"/>
      <c r="I6" s="422"/>
      <c r="J6" s="423"/>
      <c r="K6" s="421" t="s">
        <v>119</v>
      </c>
      <c r="L6" s="422"/>
      <c r="M6" s="422"/>
      <c r="N6" s="423"/>
    </row>
    <row r="7" spans="2:14" ht="50.25" customHeight="1">
      <c r="B7" s="433"/>
      <c r="C7" s="429" t="s">
        <v>109</v>
      </c>
      <c r="D7" s="429" t="s">
        <v>110</v>
      </c>
      <c r="E7" s="429" t="s">
        <v>12</v>
      </c>
      <c r="F7" s="429" t="s">
        <v>57</v>
      </c>
      <c r="G7" s="429" t="s">
        <v>109</v>
      </c>
      <c r="H7" s="429" t="s">
        <v>110</v>
      </c>
      <c r="I7" s="429" t="s">
        <v>12</v>
      </c>
      <c r="J7" s="429" t="s">
        <v>57</v>
      </c>
      <c r="K7" s="429" t="s">
        <v>109</v>
      </c>
      <c r="L7" s="429" t="s">
        <v>110</v>
      </c>
      <c r="M7" s="429" t="s">
        <v>12</v>
      </c>
      <c r="N7" s="429" t="s">
        <v>57</v>
      </c>
    </row>
    <row r="8" spans="2:14" ht="50.25" customHeight="1">
      <c r="B8" s="433"/>
      <c r="C8" s="430"/>
      <c r="D8" s="430"/>
      <c r="E8" s="430"/>
      <c r="F8" s="430"/>
      <c r="G8" s="430"/>
      <c r="H8" s="430"/>
      <c r="I8" s="430"/>
      <c r="J8" s="430"/>
      <c r="K8" s="430"/>
      <c r="L8" s="430"/>
      <c r="M8" s="430"/>
      <c r="N8" s="430"/>
    </row>
    <row r="9" spans="2:14" ht="25.5" customHeight="1">
      <c r="B9" s="375" t="s">
        <v>197</v>
      </c>
      <c r="C9" s="217">
        <f>SUM('[1]cotisations'!$C$4:$C$7,'[1]cotisations'!$E$4:$E$7)/SUM('[1]cotisations'!$H$4:$H$7)*100</f>
        <v>90.85066003884613</v>
      </c>
      <c r="D9" s="217">
        <f>SUM('[1]cotisations'!$G$4:$G$7)/SUM('[1]cotisations'!$H$4:$H$7)*100</f>
        <v>0</v>
      </c>
      <c r="E9" s="218">
        <f>SUM('[1]cotisations'!$D$4:$D$7)/SUM('[1]cotisations'!$H$4:$H$7)*100</f>
        <v>9.14933996115387</v>
      </c>
      <c r="F9" s="217">
        <f>SUM('[1]cotisations'!$F$4:$F$7)/SUM('[1]cotisations'!$H$4:$H$7)*100</f>
        <v>0</v>
      </c>
      <c r="G9" s="217">
        <f>SUM('[1]prestations'!$C$4:$C$7,'[1]prestations'!$E$4:$E$7)/SUM('[1]prestations'!$H$4:$H$7)*100</f>
        <v>60.04877941396989</v>
      </c>
      <c r="H9" s="217">
        <f>SUM('[1]prestations'!$G$4:$G$7)/SUM('[1]prestations'!$H$4:$H$7)*100</f>
        <v>0</v>
      </c>
      <c r="I9" s="218">
        <f>SUM('[1]prestations'!$D$4:$D$7)/SUM('[1]prestations'!$H$4:$H$7)*100</f>
        <v>39.95122058603012</v>
      </c>
      <c r="J9" s="217">
        <f>SUM('[1]prestations'!$F$4:$F$7)/SUM('[1]prestations'!$H$4:$H$7)*100</f>
        <v>0</v>
      </c>
      <c r="K9" s="217">
        <f>SUM('[1]encoursRed_detail'!$C$4:$C$7,'[1]encoursRed_detail'!$E$4:$E$7)/SUM('[1]encoursRed_detail'!$H$4:$H$7)*100</f>
        <v>72.02323207555106</v>
      </c>
      <c r="L9" s="217">
        <f>SUM('[1]encoursRed_detail'!$G$4:$G$7)/SUM('[1]encoursRed_detail'!$H$4:$H$7)*100</f>
        <v>0</v>
      </c>
      <c r="M9" s="218">
        <f>SUM('[1]encoursRed_detail'!$D$4:$D$7)/SUM('[1]encoursRed_detail'!$H$4:$H$7)*100</f>
        <v>27.976767924448946</v>
      </c>
      <c r="N9" s="217">
        <f>SUM('[1]encoursRed_detail'!$F$4:$F$7)/SUM('[1]encoursRed_detail'!$H$4:$H$7)*100</f>
        <v>0</v>
      </c>
    </row>
    <row r="10" spans="2:14" ht="11.25">
      <c r="B10" s="149" t="s">
        <v>120</v>
      </c>
      <c r="C10" s="219">
        <f>SUM('[1]cotisations'!$C$4,'[1]cotisations'!$F$4)/SUM('[1]cotisations'!$H$4)*100</f>
        <v>99.30845372991509</v>
      </c>
      <c r="D10" s="219">
        <f>SUM('[1]cotisations'!$G$4)/SUM('[1]cotisations'!$H$4)*100</f>
        <v>0</v>
      </c>
      <c r="E10" s="220">
        <f>SUM('[1]cotisations'!$D$4)/SUM('[1]cotisations'!$H$4)*100</f>
        <v>0.6915462700849119</v>
      </c>
      <c r="F10" s="219">
        <f>SUM('[1]cotisations'!$F$4)/SUM('[1]cotisations'!$H$4)*100</f>
        <v>0</v>
      </c>
      <c r="G10" s="219">
        <f>SUM('[1]prestations'!$C$4,'[1]prestations'!$F$4)/SUM('[1]prestations'!$H$4)*100</f>
        <v>99.43223777927047</v>
      </c>
      <c r="H10" s="219">
        <f>SUM('[1]prestations'!$G$4)/SUM('[1]prestations'!$H$4)*100</f>
        <v>0</v>
      </c>
      <c r="I10" s="220">
        <f>SUM('[1]prestations'!$D$4)/SUM('[1]prestations'!$H$4)*100</f>
        <v>0.5677622207295419</v>
      </c>
      <c r="J10" s="219">
        <f>SUM('[1]prestations'!$F$4)/SUM('[1]prestations'!$H$4)*100</f>
        <v>0</v>
      </c>
      <c r="K10" s="219">
        <f>SUM('[1]encoursRed_detail'!$C$4,'[1]encoursRed_detail'!$F$4)/SUM('[1]encoursRed_detail'!$H$4)*100</f>
        <v>99.31822181070955</v>
      </c>
      <c r="L10" s="219">
        <f>SUM('[1]encoursRed_detail'!$G$4)/SUM('[1]encoursRed_detail'!$H$4)*100</f>
        <v>0</v>
      </c>
      <c r="M10" s="220">
        <f>SUM('[1]encoursRed_detail'!$D$4)/SUM('[1]encoursRed_detail'!$H$4)*100</f>
        <v>0.6817781892904463</v>
      </c>
      <c r="N10" s="219">
        <f>SUM('[1]encoursRed_detail'!$F$4)/SUM('[1]encoursRed_detail'!$H$4)*100</f>
        <v>0</v>
      </c>
    </row>
    <row r="11" spans="2:14" ht="39" customHeight="1">
      <c r="B11" s="149" t="s">
        <v>198</v>
      </c>
      <c r="C11" s="219">
        <f>SUM('[1]cotisations'!$C$5,'[1]cotisations'!$F$5)/SUM('[1]cotisations'!$H$5)*100</f>
        <v>75.38935841128597</v>
      </c>
      <c r="D11" s="219">
        <f>SUM('[1]cotisations'!$G$5)/SUM('[1]cotisations'!$H$5)*100</f>
        <v>0</v>
      </c>
      <c r="E11" s="220">
        <f>SUM('[1]cotisations'!$D$5)/SUM('[1]cotisations'!$H$5)*100</f>
        <v>24.610641588714035</v>
      </c>
      <c r="F11" s="219">
        <f>SUM('[1]cotisations'!$F$5)/SUM('[1]cotisations'!$H$5)*100</f>
        <v>0</v>
      </c>
      <c r="G11" s="219">
        <f>SUM('[1]prestations'!$C$5,'[1]prestations'!$F$5)/SUM('[1]prestations'!$H$5)*100</f>
        <v>67.44008010624972</v>
      </c>
      <c r="H11" s="219">
        <f>SUM('[1]prestations'!$G$5)/SUM('[1]prestations'!$H$5)*100</f>
        <v>0</v>
      </c>
      <c r="I11" s="220">
        <f>SUM('[1]prestations'!$D$5)/SUM('[1]prestations'!$H$5)*100</f>
        <v>32.55991989375027</v>
      </c>
      <c r="J11" s="219">
        <f>SUM('[1]prestations'!$F$5)/SUM('[1]prestations'!$H$5)*100</f>
        <v>0</v>
      </c>
      <c r="K11" s="219">
        <f>SUM('[1]encoursRed_detail'!$C$5,'[1]encoursRed_detail'!$F$5)/SUM('[1]encoursRed_detail'!$H$5)*100</f>
        <v>66.61382909858348</v>
      </c>
      <c r="L11" s="219">
        <f>SUM('[1]encoursRed_detail'!$G$5)/SUM('[1]encoursRed_detail'!$H$5)*100</f>
        <v>0</v>
      </c>
      <c r="M11" s="220">
        <f>SUM('[1]encoursRed_detail'!$D$5)/SUM('[1]encoursRed_detail'!$H$5)*100</f>
        <v>33.38617090141652</v>
      </c>
      <c r="N11" s="219">
        <f>SUM('[1]encoursRed_detail'!$F$5)/SUM('[1]encoursRed_detail'!$H$5)*100</f>
        <v>0</v>
      </c>
    </row>
    <row r="12" spans="2:14" ht="14.25" customHeight="1">
      <c r="B12" s="149" t="s">
        <v>0</v>
      </c>
      <c r="C12" s="219">
        <f>SUM('[1]cotisations'!$C$6,'[1]cotisations'!$F$6)/SUM('[1]cotisations'!$H$6)*100</f>
        <v>1.6349696852114837</v>
      </c>
      <c r="D12" s="219">
        <f>SUM('[1]cotisations'!$G$6)/SUM('[1]cotisations'!$H$6)*100</f>
        <v>0</v>
      </c>
      <c r="E12" s="220">
        <f>SUM('[1]cotisations'!$D$6)/SUM('[1]cotisations'!$H$6)*100</f>
        <v>98.36503031478851</v>
      </c>
      <c r="F12" s="219">
        <f>SUM('[1]cotisations'!$F$6)/SUM('[1]cotisations'!$H$6)*100</f>
        <v>0</v>
      </c>
      <c r="G12" s="219">
        <f>SUM('[1]prestations'!$C$6,'[1]prestations'!$F$6)/SUM('[1]prestations'!$H$6)*100</f>
        <v>6.654385952386052</v>
      </c>
      <c r="H12" s="219">
        <f>SUM('[1]prestations'!$G$6)/SUM('[1]prestations'!$H$6)*100</f>
        <v>0</v>
      </c>
      <c r="I12" s="220">
        <f>SUM('[1]prestations'!$D$6)/SUM('[1]prestations'!$H$6)*100</f>
        <v>93.34561404761395</v>
      </c>
      <c r="J12" s="219">
        <f>SUM('[1]prestations'!$F$6)/SUM('[1]prestations'!$H$6)*100</f>
        <v>0</v>
      </c>
      <c r="K12" s="219">
        <f>SUM('[1]encoursRed_detail'!$C$6,'[1]encoursRed_detail'!$F$6)/SUM('[1]encoursRed_detail'!$H$6)*100</f>
        <v>9.809935294577606</v>
      </c>
      <c r="L12" s="219">
        <f>SUM('[1]encoursRed_detail'!$G$6)/SUM('[1]encoursRed_detail'!$H$6)*100</f>
        <v>0</v>
      </c>
      <c r="M12" s="220">
        <f>SUM('[1]encoursRed_detail'!$D$6)/SUM('[1]encoursRed_detail'!$H$6)*100</f>
        <v>90.19006470542239</v>
      </c>
      <c r="N12" s="219">
        <f>SUM('[1]encoursRed_detail'!$F$6)/SUM('[1]encoursRed_detail'!$H$6)*100</f>
        <v>0</v>
      </c>
    </row>
    <row r="13" spans="2:14" ht="13.5" customHeight="1">
      <c r="B13" s="148" t="s">
        <v>121</v>
      </c>
      <c r="C13" s="219">
        <f>SUM('[1]cotisations'!$C$7,'[1]cotisations'!$F$7)/SUM('[1]cotisations'!$H$7)*100</f>
        <v>56.40833640096526</v>
      </c>
      <c r="D13" s="219">
        <f>SUM('[1]cotisations'!$G$7)/SUM('[1]cotisations'!$H$7)*100</f>
        <v>0</v>
      </c>
      <c r="E13" s="220">
        <f>SUM('[1]cotisations'!$D$7)/SUM('[1]cotisations'!$H$7)*100</f>
        <v>43.59166359903474</v>
      </c>
      <c r="F13" s="219">
        <f>SUM('[1]cotisations'!$F$7)/SUM('[1]cotisations'!$H$7)*100</f>
        <v>0</v>
      </c>
      <c r="G13" s="219">
        <f>SUM('[1]prestations'!$C$7,'[1]prestations'!$F$7)/SUM('[1]prestations'!$H$7)*100</f>
        <v>42.45126206246954</v>
      </c>
      <c r="H13" s="219">
        <f>SUM('[1]prestations'!$G$7)/SUM('[1]prestations'!$H$7)*100</f>
        <v>0</v>
      </c>
      <c r="I13" s="220">
        <f>SUM('[1]prestations'!$D$7)/SUM('[1]prestations'!$H$7)*100</f>
        <v>57.54873793753047</v>
      </c>
      <c r="J13" s="219">
        <f>SUM('[1]prestations'!$F$7)/SUM('[1]prestations'!$H$7)*100</f>
        <v>0</v>
      </c>
      <c r="K13" s="219">
        <f>SUM('[1]encoursRed_detail'!$C$7,'[1]encoursRed_detail'!$F$7)/SUM('[1]encoursRed_detail'!$H$7)*100</f>
        <v>61.42009200068266</v>
      </c>
      <c r="L13" s="219">
        <f>SUM('[1]encoursRed_detail'!$G$7)/SUM('[1]encoursRed_detail'!$H$7)*100</f>
        <v>0</v>
      </c>
      <c r="M13" s="220">
        <f>SUM('[1]encoursRed_detail'!$D$7)/SUM('[1]encoursRed_detail'!$H$7)*100</f>
        <v>38.57990799931734</v>
      </c>
      <c r="N13" s="219">
        <f>SUM('[1]encoursRed_detail'!$F$7)/SUM('[1]encoursRed_detail'!$H$7)*100</f>
        <v>0</v>
      </c>
    </row>
    <row r="14" spans="2:14" ht="25.5" customHeight="1">
      <c r="B14" s="375" t="s">
        <v>199</v>
      </c>
      <c r="C14" s="217">
        <f>SUM('[1]cotisations'!$C$8:$C$16,'[1]cotisations'!$E$8:$E$16)/SUM('[1]cotisations'!$H$8:$H$16)*100</f>
        <v>72.49954187795886</v>
      </c>
      <c r="D14" s="217">
        <f>SUM('[1]cotisations'!$G$8:$G$16)/SUM('[1]cotisations'!$H$8:$H$16)*100</f>
        <v>3.829389337361133</v>
      </c>
      <c r="E14" s="218">
        <f>SUM('[1]cotisations'!$D$8:$D$16)/SUM('[1]cotisations'!$H$8:$H$16)*100</f>
        <v>1.0711211575657078</v>
      </c>
      <c r="F14" s="217">
        <f>SUM('[1]cotisations'!$F$8:$F$16)/SUM('[1]cotisations'!$H$8:$H$16)*100</f>
        <v>22.599947627114297</v>
      </c>
      <c r="G14" s="217">
        <f>SUM('[1]prestations'!$C$8:$C$16,'[1]prestations'!$E$8:$E$16)/SUM('[1]prestations'!$H$8:$H$16)*100</f>
        <v>84.4676512958536</v>
      </c>
      <c r="H14" s="217">
        <f>SUM('[1]prestations'!$G$8:$G$16)/SUM('[1]prestations'!$H$8:$H$16)*100</f>
        <v>3.0852320009234253</v>
      </c>
      <c r="I14" s="218">
        <f>SUM('[1]prestations'!$D$8:$D$16)/SUM('[1]prestations'!$H$8:$H$16)*100</f>
        <v>2.1504663506334962</v>
      </c>
      <c r="J14" s="217">
        <f>SUM('[1]prestations'!$F$8:$F$16)/SUM('[1]prestations'!$H$8:$H$16)*100</f>
        <v>10.29665035258948</v>
      </c>
      <c r="K14" s="217">
        <f>SUM('[1]encoursRed_detail'!$C$8:$C$16,'[1]encoursRed_detail'!$E$8:$E$16)/SUM('[1]encoursRed_detail'!$H$8:$H$16)*100</f>
        <v>84.02511631794904</v>
      </c>
      <c r="L14" s="217">
        <f>SUM('[1]encoursRed_detail'!$G$8:$G$16)/SUM('[1]encoursRed_detail'!$H$8:$H$16)*100</f>
        <v>4.9039828804573435</v>
      </c>
      <c r="M14" s="218">
        <f>SUM('[1]encoursRed_detail'!$D$8:$D$16)/SUM('[1]encoursRed_detail'!$H$8:$H$16)*100</f>
        <v>2.2549091483189487</v>
      </c>
      <c r="N14" s="217">
        <f>SUM('[1]encoursRed_detail'!$F$8:$F$16)/SUM('[1]encoursRed_detail'!$H$8:$H$16)*100</f>
        <v>8.815991653274668</v>
      </c>
    </row>
    <row r="15" spans="2:14" ht="16.5" customHeight="1">
      <c r="B15" s="102" t="s">
        <v>200</v>
      </c>
      <c r="C15" s="221">
        <f>SUM('[1]cotisations'!$C$8:$C$9,'[1]cotisations'!$E$8:$E$9)/SUM('[1]cotisations'!$H$8:$H$9)*100</f>
        <v>96.27980442476517</v>
      </c>
      <c r="D15" s="221">
        <f>SUM('[1]cotisations'!$G$8:$G$9)/SUM('[1]cotisations'!$H$8:$H$9)*100</f>
        <v>0</v>
      </c>
      <c r="E15" s="222">
        <f>SUM('[1]cotisations'!$D$8:$D$9)/SUM('[1]cotisations'!$H$8:$H$9)*100</f>
        <v>3.7201955752348206</v>
      </c>
      <c r="F15" s="221">
        <f>SUM('[1]cotisations'!$F$8:$F$9)/SUM('[1]cotisations'!$H$8:$H$9)*100</f>
        <v>0</v>
      </c>
      <c r="G15" s="221">
        <f>SUM('[1]prestations'!$C$8:$C$9,'[1]prestations'!$E$8:$E$9)/SUM('[1]prestations'!$H$8:$H$9)*100</f>
        <v>84.44140805033736</v>
      </c>
      <c r="H15" s="221">
        <f>SUM('[1]prestations'!$G$8:$G$9)/SUM('[1]prestations'!$H$8:$H$9)*100</f>
        <v>0</v>
      </c>
      <c r="I15" s="222">
        <f>SUM('[1]prestations'!$D$8:$D$9)/SUM('[1]prestations'!$H$8:$H$9)*100</f>
        <v>15.55859194966264</v>
      </c>
      <c r="J15" s="221">
        <f>SUM('[1]prestations'!$F$8:$F$9)/SUM('[1]prestations'!$H$8:$H$9)*100</f>
        <v>0</v>
      </c>
      <c r="K15" s="221">
        <f>SUM('[1]encoursRed_detail'!$C$8:$C$9,'[1]encoursRed_detail'!$E$8:$E$9)/SUM('[1]encoursRed_detail'!$H$8:$H$9)*100</f>
        <v>91.53024633456049</v>
      </c>
      <c r="L15" s="221">
        <f>SUM('[1]encoursRed_detail'!$G$8:$G$9)/SUM('[1]encoursRed_detail'!$H$8:$H$9)*100</f>
        <v>0</v>
      </c>
      <c r="M15" s="222">
        <f>SUM('[1]encoursRed_detail'!$D$8:$D$9)/SUM('[1]encoursRed_detail'!$H$8:$H$9)*100</f>
        <v>8.46975366543951</v>
      </c>
      <c r="N15" s="221">
        <f>SUM('[1]encoursRed_detail'!$F$8:$F$9)/SUM('[1]encoursRed_detail'!$H$8:$H$9)*100</f>
        <v>0</v>
      </c>
    </row>
    <row r="16" spans="2:14" ht="11.25">
      <c r="B16" s="148" t="s">
        <v>30</v>
      </c>
      <c r="C16" s="219">
        <f>SUM('[1]cotisations'!$C$8,'[1]cotisations'!$E$8)/'[1]cotisations'!$H$8*100</f>
        <v>95.98160415861831</v>
      </c>
      <c r="D16" s="219">
        <f>'[1]cotisations'!$G$8/'[1]cotisations'!$H$8*100</f>
        <v>0</v>
      </c>
      <c r="E16" s="220">
        <f>'[1]cotisations'!$D$8/'[1]cotisations'!$H$8*100</f>
        <v>4.018395841381682</v>
      </c>
      <c r="F16" s="219">
        <f>'[1]cotisations'!$F$8/'[1]cotisations'!$H$8*100</f>
        <v>0</v>
      </c>
      <c r="G16" s="219">
        <f>SUM('[1]prestations'!$C$8,'[1]prestations'!$E$8)/'[1]prestations'!$H$8*100</f>
        <v>81.35496425854932</v>
      </c>
      <c r="H16" s="219">
        <f>'[1]prestations'!$G$8/'[1]prestations'!$H$8*100</f>
        <v>0</v>
      </c>
      <c r="I16" s="220">
        <f>'[1]prestations'!$D$8/'[1]prestations'!$H$8*100</f>
        <v>18.645035741450695</v>
      </c>
      <c r="J16" s="219">
        <f>'[1]prestations'!$F$8/'[1]prestations'!$H$8*100</f>
        <v>0</v>
      </c>
      <c r="K16" s="219">
        <f>SUM('[1]encoursRed_detail'!$C$8,'[1]encoursRed_detail'!$E$8)/'[1]encoursRed_detail'!$H$8*100</f>
        <v>90.25580844888712</v>
      </c>
      <c r="L16" s="219">
        <f>'[1]encoursRed_detail'!$G$8/'[1]encoursRed_detail'!$H$8*100</f>
        <v>0</v>
      </c>
      <c r="M16" s="220">
        <f>'[1]encoursRed_detail'!$D$8/'[1]encoursRed_detail'!$H$8*100</f>
        <v>9.74419155111288</v>
      </c>
      <c r="N16" s="219">
        <f>'[1]encoursRed_detail'!$F$8/'[1]encoursRed_detail'!$H$8*100</f>
        <v>0</v>
      </c>
    </row>
    <row r="17" spans="2:14" ht="12.75" customHeight="1">
      <c r="B17" s="148" t="s">
        <v>40</v>
      </c>
      <c r="C17" s="219">
        <f>SUM('[1]cotisations'!$C$9,'[1]cotisations'!$E$9)/SUM('[1]cotisations'!$H$9)*100</f>
        <v>100</v>
      </c>
      <c r="D17" s="219">
        <f>'[1]cotisations'!$G$9/'[1]cotisations'!$H$9*100</f>
        <v>0</v>
      </c>
      <c r="E17" s="220">
        <f>'[1]cotisations'!$D$9/'[1]cotisations'!$H$9*100</f>
        <v>0</v>
      </c>
      <c r="F17" s="219">
        <f>'[1]cotisations'!$F$9/'[1]cotisations'!$H$9*100</f>
        <v>0</v>
      </c>
      <c r="G17" s="219">
        <f>SUM('[1]prestations'!$C$9,'[1]prestations'!$E$9)/SUM('[1]prestations'!$H$9)*100</f>
        <v>100</v>
      </c>
      <c r="H17" s="219">
        <f>'[1]prestations'!$G$9/'[1]prestations'!$H$9*100</f>
        <v>0</v>
      </c>
      <c r="I17" s="220">
        <f>'[1]prestations'!$D$9/'[1]prestations'!$H$9*100</f>
        <v>0</v>
      </c>
      <c r="J17" s="219">
        <f>'[1]prestations'!$F$9/'[1]prestations'!$H$9*100</f>
        <v>0</v>
      </c>
      <c r="K17" s="219">
        <f>SUM('[1]encoursRed_detail'!$C$9,'[1]encoursRed_detail'!$E$9)/SUM('[1]encoursRed_detail'!$H$9)*100</f>
        <v>100</v>
      </c>
      <c r="L17" s="219">
        <f>'[1]encoursRed_detail'!$G$9/'[1]encoursRed_detail'!$H$9*100</f>
        <v>0</v>
      </c>
      <c r="M17" s="220">
        <f>'[1]encoursRed_detail'!$D$9/'[1]encoursRed_detail'!$H$9*100</f>
        <v>0</v>
      </c>
      <c r="N17" s="219">
        <f>'[1]encoursRed_detail'!$F$9/'[1]encoursRed_detail'!$H$9*100</f>
        <v>0</v>
      </c>
    </row>
    <row r="18" spans="2:14" ht="11.25">
      <c r="B18" s="102" t="s">
        <v>201</v>
      </c>
      <c r="C18" s="221">
        <f>SUM('[1]cotisations'!$C$10:$C$16,'[1]cotisations'!$E$10:$E$16)/SUM('[1]cotisations'!$H$10:$H$16)*100</f>
        <v>62.88498383164834</v>
      </c>
      <c r="D18" s="221">
        <f>SUM('[1]cotisations'!$G$10:$G$16)/SUM('[1]cotisations'!$H$10:$H$16)*100</f>
        <v>5.377643314520263</v>
      </c>
      <c r="E18" s="222">
        <f>SUM('[1]cotisations'!$D$10:$D$16)/SUM('[1]cotisations'!$H$10:$H$16)*100</f>
        <v>7.832498367250444E-05</v>
      </c>
      <c r="F18" s="221">
        <f>SUM('[1]cotisations'!$F$10:$F$16)/SUM('[1]cotisations'!$H$10:$H$16)*100</f>
        <v>31.73729452884772</v>
      </c>
      <c r="G18" s="221">
        <f>SUM('[1]prestations'!$C$10:$C$16,'[1]prestations'!$E$10:$E$16)/SUM('[1]prestations'!$H$10:$H$16)*100</f>
        <v>84.47181965834204</v>
      </c>
      <c r="H18" s="221">
        <f>SUM('[1]prestations'!$G$10:$G$16)/SUM('[1]prestations'!$H$10:$H$16)*100</f>
        <v>3.5752767757908552</v>
      </c>
      <c r="I18" s="222">
        <f>SUM('[1]prestations'!$D$10:$D$16)/SUM('[1]prestations'!$H$10:$H$16)*100</f>
        <v>0.02077824659339308</v>
      </c>
      <c r="J18" s="221">
        <f>SUM('[1]prestations'!$F$10:$F$16)/SUM('[1]prestations'!$H$10:$H$16)*100</f>
        <v>11.93212531927371</v>
      </c>
      <c r="K18" s="221">
        <f>SUM('[1]encoursRed_detail'!$C$10:$C$16,'[1]encoursRed_detail'!$E$10:$E$16)/SUM('[1]encoursRed_detail'!$H$10:$H$16)*100</f>
        <v>81.31176791027316</v>
      </c>
      <c r="L18" s="221">
        <f>SUM('[1]encoursRed_detail'!$G$10:$G$16)/SUM('[1]encoursRed_detail'!$H$10:$H$16)*100</f>
        <v>6.67693206461637</v>
      </c>
      <c r="M18" s="222">
        <f>SUM('[1]encoursRed_detail'!$D$10:$D$16)/SUM('[1]encoursRed_detail'!$H$10:$H$16)*100</f>
        <v>0.008040881259153528</v>
      </c>
      <c r="N18" s="221">
        <f>SUM('[1]encoursRed_detail'!$F$10:$F$16)/SUM('[1]encoursRed_detail'!$H$10:$H$16)*100</f>
        <v>12.003259143851315</v>
      </c>
    </row>
    <row r="19" spans="2:14" ht="11.25">
      <c r="B19" s="148" t="s">
        <v>204</v>
      </c>
      <c r="C19" s="219">
        <f>SUM('[1]cotisations'!$C10,'[1]cotisations'!$E10)/'[1]cotisations'!$H10*100</f>
        <v>0.6552525893217751</v>
      </c>
      <c r="D19" s="219">
        <f>'[1]cotisations'!$G10/'[1]cotisations'!$H10*100</f>
        <v>0</v>
      </c>
      <c r="E19" s="220">
        <f>'[1]cotisations'!$D10/'[1]cotisations'!$H10*100</f>
        <v>0</v>
      </c>
      <c r="F19" s="219">
        <f>'[1]cotisations'!$F10/'[1]cotisations'!$H10*100</f>
        <v>99.34474741067822</v>
      </c>
      <c r="G19" s="219">
        <f>SUM('[1]prestations'!$C10,'[1]prestations'!$E10)/'[1]prestations'!$H10*100</f>
        <v>0.8350417348902619</v>
      </c>
      <c r="H19" s="219">
        <f>'[1]prestations'!$G10/'[1]prestations'!$H10*100</f>
        <v>0</v>
      </c>
      <c r="I19" s="220">
        <f>'[1]prestations'!$D10/'[1]prestations'!$H10*100</f>
        <v>0</v>
      </c>
      <c r="J19" s="219">
        <f>'[1]prestations'!$F10/'[1]prestations'!$H10*100</f>
        <v>99.16495826510973</v>
      </c>
      <c r="K19" s="219">
        <f>SUM('[1]encoursRed_detail'!$C10,'[1]encoursRed_detail'!$E10)/'[1]encoursRed_detail'!$H10*100</f>
        <v>0.582859586515184</v>
      </c>
      <c r="L19" s="219">
        <f>'[1]encoursRed_detail'!$G10/'[1]encoursRed_detail'!$H10*100</f>
        <v>0</v>
      </c>
      <c r="M19" s="220">
        <f>'[1]encoursRed_detail'!$D10/'[1]encoursRed_detail'!$H10*100</f>
        <v>0</v>
      </c>
      <c r="N19" s="219">
        <f>'[1]encoursRed_detail'!$F10/'[1]encoursRed_detail'!$H10*100</f>
        <v>99.41714041348482</v>
      </c>
    </row>
    <row r="20" spans="2:14" ht="11.25">
      <c r="B20" s="148" t="s">
        <v>122</v>
      </c>
      <c r="C20" s="219">
        <f>SUM('[1]cotisations'!$C11,'[1]cotisations'!$E11)/'[1]cotisations'!$H11*100</f>
        <v>99.51877193895841</v>
      </c>
      <c r="D20" s="219">
        <f>'[1]cotisations'!$G11/'[1]cotisations'!$H11*100</f>
        <v>0.4812280610415891</v>
      </c>
      <c r="E20" s="220">
        <f>'[1]cotisations'!$D11/'[1]cotisations'!$H11*100</f>
        <v>0</v>
      </c>
      <c r="F20" s="219">
        <f>'[1]cotisations'!$F11/'[1]cotisations'!$H11*100</f>
        <v>0</v>
      </c>
      <c r="G20" s="219">
        <f>SUM('[1]prestations'!$C11,'[1]prestations'!$E11)/'[1]prestations'!$H11*100</f>
        <v>98.87085584775225</v>
      </c>
      <c r="H20" s="219">
        <f>'[1]prestations'!$G11/'[1]prestations'!$H11*100</f>
        <v>1.1291441522477381</v>
      </c>
      <c r="I20" s="220">
        <f>'[1]prestations'!$D11/'[1]prestations'!$H11*100</f>
        <v>0</v>
      </c>
      <c r="J20" s="219">
        <f>'[1]prestations'!$F11/'[1]prestations'!$H11*100</f>
        <v>0</v>
      </c>
      <c r="K20" s="219">
        <f>SUM('[1]encoursRed_detail'!$C11,'[1]encoursRed_detail'!$E11)/'[1]encoursRed_detail'!$H11*100</f>
        <v>99.08758693476479</v>
      </c>
      <c r="L20" s="219">
        <f>'[1]encoursRed_detail'!$G11/'[1]encoursRed_detail'!$H11*100</f>
        <v>0.912413065235206</v>
      </c>
      <c r="M20" s="220">
        <f>'[1]encoursRed_detail'!$D11/'[1]encoursRed_detail'!$H11*100</f>
        <v>0</v>
      </c>
      <c r="N20" s="219">
        <f>'[1]encoursRed_detail'!$F11/'[1]encoursRed_detail'!$H11*100</f>
        <v>0</v>
      </c>
    </row>
    <row r="21" spans="2:14" ht="11.25">
      <c r="B21" s="148" t="s">
        <v>123</v>
      </c>
      <c r="C21" s="219">
        <f>SUM('[1]cotisations'!$C12,'[1]cotisations'!$E12)/'[1]cotisations'!$H12*100</f>
        <v>92.17050591838549</v>
      </c>
      <c r="D21" s="219">
        <f>'[1]cotisations'!$G12/'[1]cotisations'!$H12*100</f>
        <v>7.829494081614517</v>
      </c>
      <c r="E21" s="220">
        <f>'[1]cotisations'!$D12/'[1]cotisations'!$H12*100</f>
        <v>0</v>
      </c>
      <c r="F21" s="219">
        <f>'[1]cotisations'!$F12/'[1]cotisations'!$H12*100</f>
        <v>0</v>
      </c>
      <c r="G21" s="219">
        <f>SUM('[1]prestations'!$C12,'[1]prestations'!$E12)/'[1]prestations'!$H12*100</f>
        <v>90.19072713333468</v>
      </c>
      <c r="H21" s="219">
        <f>'[1]prestations'!$G12/'[1]prestations'!$H12*100</f>
        <v>9.809272866665319</v>
      </c>
      <c r="I21" s="220">
        <f>'[1]prestations'!$D12/'[1]prestations'!$H12*100</f>
        <v>0</v>
      </c>
      <c r="J21" s="219">
        <f>'[1]prestations'!$F12/'[1]prestations'!$H12*100</f>
        <v>0</v>
      </c>
      <c r="K21" s="219">
        <f>SUM('[1]encoursRed_detail'!$C12,'[1]encoursRed_detail'!$E12)/'[1]encoursRed_detail'!$H12*100</f>
        <v>81.95604891557402</v>
      </c>
      <c r="L21" s="219">
        <f>'[1]encoursRed_detail'!$G12/'[1]encoursRed_detail'!$H12*100</f>
        <v>18.04395108442598</v>
      </c>
      <c r="M21" s="220">
        <f>'[1]encoursRed_detail'!$D12/'[1]encoursRed_detail'!$H12*100</f>
        <v>0</v>
      </c>
      <c r="N21" s="219">
        <f>'[1]encoursRed_detail'!$F12/'[1]encoursRed_detail'!$H12*100</f>
        <v>0</v>
      </c>
    </row>
    <row r="22" spans="2:14" ht="11.25">
      <c r="B22" s="148" t="s">
        <v>136</v>
      </c>
      <c r="C22" s="219">
        <f>SUM('[1]cotisations'!$C13,'[1]cotisations'!$E13,'[1]cotisations'!$C$15:$C$16,'[1]cotisations'!$E$15:$E$16)/SUM('[1]cotisations'!$H$13,'[1]cotisations'!$H$15:$H$16)*100</f>
        <v>88.55423066664653</v>
      </c>
      <c r="D22" s="219">
        <f>SUM('[1]cotisations'!$G$13,'[1]cotisations'!$G$15:$G$16)/SUM('[1]cotisations'!$H$13,'[1]cotisations'!$H$15:$H$16)*100</f>
        <v>11.44559019192491</v>
      </c>
      <c r="E22" s="220">
        <f>SUM('[1]cotisations'!$D$13,'[1]cotisations'!$D$15:$D$16)/SUM('[1]cotisations'!$H$13,'[1]cotisations'!$H$15:$H$16)*100</f>
        <v>0.00017914142855451646</v>
      </c>
      <c r="F22" s="219">
        <f>SUM('[1]cotisations'!$F$13,'[1]cotisations'!$F$15:$F$16)/SUM('[1]cotisations'!$H$13,'[1]cotisations'!$H$15:$H$16)*100</f>
        <v>0</v>
      </c>
      <c r="G22" s="219">
        <f>SUM('[1]prestations'!$C13,'[1]prestations'!$E13,'[1]prestations'!$C$15:$C$16,'[1]prestations'!$E$15:$E$16)/SUM('[1]prestations'!$H$13,'[1]prestations'!$H$15:$H$16)*100</f>
        <v>94.03796703875584</v>
      </c>
      <c r="H22" s="219">
        <f>SUM('[1]prestations'!$G$13,'[1]prestations'!$G$15:$G$16)/SUM('[1]prestations'!$H$13,'[1]prestations'!$H$15:$H$16)*100</f>
        <v>5.9168033189316755</v>
      </c>
      <c r="I22" s="220">
        <f>SUM('[1]prestations'!$D$13,'[1]prestations'!$D$15:$D$16)/SUM('[1]prestations'!$H$13,'[1]prestations'!$H$15:$H$16)*100</f>
        <v>0.04522964231249264</v>
      </c>
      <c r="J22" s="219">
        <f>SUM('[1]prestations'!$F$13,'[1]prestations'!$F$15:$F$16)/SUM('[1]prestations'!$H$13,'[1]prestations'!$H$15:$H$16)*100</f>
        <v>0</v>
      </c>
      <c r="K22" s="219">
        <f>SUM('[1]encoursRed_detail'!$C13,'[1]encoursRed_detail'!$E13,'[1]encoursRed_detail'!$C$15:$C$16,'[1]encoursRed_detail'!$E$15:$E$16)/SUM('[1]encoursRed_detail'!$H$13,'[1]encoursRed_detail'!$H$15:$H$16)*100</f>
        <v>89.63306969382785</v>
      </c>
      <c r="L22" s="219">
        <f>SUM('[1]encoursRed_detail'!$G$13,'[1]encoursRed_detail'!$G$15:$G$16)/SUM('[1]encoursRed_detail'!$H$13,'[1]encoursRed_detail'!$H$15:$H$16)*100</f>
        <v>10.351981059663277</v>
      </c>
      <c r="M22" s="220">
        <f>SUM('[1]encoursRed_detail'!$D$13,'[1]encoursRed_detail'!$D$15:$D$16)/SUM('[1]encoursRed_detail'!$H$13,'[1]encoursRed_detail'!$H$15:$H$16)*100</f>
        <v>0.014949246508873137</v>
      </c>
      <c r="N22" s="219">
        <f>SUM('[1]encoursRed_detail'!$F$13,'[1]encoursRed_detail'!$F$15:$F$16)/SUM('[1]encoursRed_detail'!$H$13,'[1]encoursRed_detail'!$H$15:$H$16)*100</f>
        <v>0</v>
      </c>
    </row>
    <row r="23" spans="2:14" ht="11.25">
      <c r="B23" s="148" t="s">
        <v>2</v>
      </c>
      <c r="C23" s="219">
        <f>SUM('[1]cotisations'!$C$14,'[1]cotisations'!$E$14)/'[1]cotisations'!$H$14*100</f>
        <v>84.907312367832</v>
      </c>
      <c r="D23" s="219">
        <f>'[1]cotisations'!$G$14/'[1]cotisations'!$H$14*100</f>
        <v>15.092687632167987</v>
      </c>
      <c r="E23" s="220">
        <f>'[1]cotisations'!$D$14/'[1]cotisations'!$H$14*100</f>
        <v>0</v>
      </c>
      <c r="F23" s="219">
        <f>'[1]cotisations'!$F$14/'[1]cotisations'!$H$14*100</f>
        <v>0</v>
      </c>
      <c r="G23" s="219">
        <f>SUM('[1]prestations'!$C$14,'[1]prestations'!$E$14)/'[1]prestations'!$H$14*100</f>
        <v>75.8517282740269</v>
      </c>
      <c r="H23" s="219">
        <f>'[1]prestations'!$G$14/'[1]prestations'!$H$14*100</f>
        <v>24.148271725973103</v>
      </c>
      <c r="I23" s="220">
        <f>'[1]prestations'!$D$14/'[1]prestations'!$H$14*100</f>
        <v>0</v>
      </c>
      <c r="J23" s="219">
        <f>'[1]prestations'!$F$14/'[1]prestations'!$H$14*100</f>
        <v>0</v>
      </c>
      <c r="K23" s="219">
        <f>SUM('[1]encoursRed_detail'!$C$14,'[1]encoursRed_detail'!$E$14)/'[1]encoursRed_detail'!$H$14*100</f>
        <v>54.30551391629328</v>
      </c>
      <c r="L23" s="219">
        <f>'[1]encoursRed_detail'!$G$14/'[1]encoursRed_detail'!$H$14*100</f>
        <v>45.694486083706714</v>
      </c>
      <c r="M23" s="220">
        <f>'[1]encoursRed_detail'!$D$14/'[1]encoursRed_detail'!$H$14*100</f>
        <v>0</v>
      </c>
      <c r="N23" s="219">
        <f>'[1]encoursRed_detail'!$F$14/'[1]encoursRed_detail'!$H$14*100</f>
        <v>0</v>
      </c>
    </row>
    <row r="24" spans="2:14" ht="11.25" customHeight="1">
      <c r="B24" s="375" t="s">
        <v>41</v>
      </c>
      <c r="C24" s="217">
        <f>SUM('[1]cotisations'!$C$4:$C$16,'[1]cotisations'!$E$4:$E$16)/SUM('[1]cotisations'!$H$4:$H$16)*100</f>
        <v>75.58220843773717</v>
      </c>
      <c r="D24" s="217">
        <f>SUM('[1]cotisations'!$G$4:$G$16)/SUM('[1]cotisations'!$H$4:$H$16)*100</f>
        <v>3.1861189736066864</v>
      </c>
      <c r="E24" s="218">
        <f>SUM('[1]cotisations'!$D$4:$D$16)/SUM('[1]cotisations'!$H$4:$H$16)*100</f>
        <v>2.4281204831691747</v>
      </c>
      <c r="F24" s="223">
        <f>SUM('[1]cotisations'!$F$4:$F$16)/SUM('[1]cotisations'!$H$4:$H$16)*100</f>
        <v>18.803552105486972</v>
      </c>
      <c r="G24" s="217">
        <f>SUM('[1]prestations'!$C$4:$C$16,'[1]prestations'!$E$4:$E$16)/SUM('[1]prestations'!$H$4:$H$16)*100</f>
        <v>78.0501727104832</v>
      </c>
      <c r="H24" s="217">
        <f>SUM('[1]prestations'!$G$4:$G$16)/SUM('[1]prestations'!$H$4:$H$16)*100</f>
        <v>2.274407881259049</v>
      </c>
      <c r="I24" s="218">
        <f>SUM('[1]prestations'!$D$4:$D$16)/SUM('[1]prestations'!$H$4:$H$16)*100</f>
        <v>12.084812703319868</v>
      </c>
      <c r="J24" s="223">
        <f>SUM('[1]prestations'!$F$4:$F$16)/SUM('[1]prestations'!$H$4:$H$16)*100</f>
        <v>7.590606704937885</v>
      </c>
      <c r="K24" s="217">
        <f>SUM('[1]encoursRed_detail'!$C$4:$C$16,'[1]encoursRed_detail'!$E$4:$E$16)/SUM('[1]encoursRed_detail'!$H$4:$H$16)*100</f>
        <v>81.41541560026688</v>
      </c>
      <c r="L24" s="217">
        <f>SUM('[1]encoursRed_detail'!$G$4:$G$16)/SUM('[1]encoursRed_detail'!$H$4:$H$16)*100</f>
        <v>3.8376563450438086</v>
      </c>
      <c r="M24" s="218">
        <f>SUM('[1]encoursRed_detail'!$D$4:$D$16)/SUM('[1]encoursRed_detail'!$H$4:$H$16)*100</f>
        <v>7.84789371244716</v>
      </c>
      <c r="N24" s="223">
        <f>SUM('[1]encoursRed_detail'!$F$4:$F$16)/SUM('[1]encoursRed_detail'!$H$4:$H$16)*100</f>
        <v>6.89903434224215</v>
      </c>
    </row>
    <row r="25" spans="2:15" s="151" customFormat="1" ht="11.25" customHeight="1">
      <c r="B25" s="145"/>
      <c r="C25" s="142"/>
      <c r="D25" s="142"/>
      <c r="E25" s="142"/>
      <c r="F25" s="142"/>
      <c r="G25" s="142"/>
      <c r="H25" s="150"/>
      <c r="I25" s="150"/>
      <c r="J25" s="150"/>
      <c r="K25" s="143"/>
      <c r="L25" s="144"/>
      <c r="M25" s="144"/>
      <c r="N25" s="144"/>
      <c r="O25" s="145"/>
    </row>
    <row r="26" spans="2:14" ht="11.25" customHeight="1">
      <c r="B26" s="152" t="s">
        <v>124</v>
      </c>
      <c r="C26" s="152"/>
      <c r="D26" s="152"/>
      <c r="E26" s="152"/>
      <c r="F26" s="152"/>
      <c r="G26" s="152"/>
      <c r="H26" s="152"/>
      <c r="I26" s="152"/>
      <c r="J26" s="152"/>
      <c r="K26" s="152"/>
      <c r="L26" s="152"/>
      <c r="M26" s="152"/>
      <c r="N26" s="152"/>
    </row>
    <row r="27" spans="2:14" ht="11.25">
      <c r="B27" s="153" t="s">
        <v>154</v>
      </c>
      <c r="C27" s="154"/>
      <c r="D27" s="154"/>
      <c r="E27" s="154"/>
      <c r="F27" s="154"/>
      <c r="G27" s="154"/>
      <c r="H27" s="154"/>
      <c r="I27" s="154"/>
      <c r="J27" s="154"/>
      <c r="K27" s="154"/>
      <c r="L27" s="154"/>
      <c r="M27" s="154"/>
      <c r="N27" s="154"/>
    </row>
    <row r="28" spans="2:14" ht="11.25">
      <c r="B28" s="155" t="s">
        <v>125</v>
      </c>
      <c r="C28" s="156"/>
      <c r="D28" s="156"/>
      <c r="E28" s="156"/>
      <c r="F28" s="156"/>
      <c r="G28" s="154"/>
      <c r="H28" s="154"/>
      <c r="I28" s="154"/>
      <c r="J28" s="154"/>
      <c r="K28" s="154"/>
      <c r="L28" s="154"/>
      <c r="M28" s="154"/>
      <c r="N28" s="154"/>
    </row>
    <row r="29" spans="2:14" ht="11.25">
      <c r="B29" s="212" t="s">
        <v>137</v>
      </c>
      <c r="C29" s="156"/>
      <c r="D29" s="156"/>
      <c r="E29" s="156"/>
      <c r="F29" s="156"/>
      <c r="G29" s="154"/>
      <c r="H29" s="154"/>
      <c r="I29" s="154"/>
      <c r="J29" s="154"/>
      <c r="K29" s="154"/>
      <c r="L29" s="154"/>
      <c r="M29" s="154"/>
      <c r="N29" s="154"/>
    </row>
    <row r="30" spans="2:14" ht="11.25">
      <c r="B30" s="157" t="s">
        <v>132</v>
      </c>
      <c r="C30" s="156"/>
      <c r="D30" s="156"/>
      <c r="E30" s="156"/>
      <c r="F30" s="156"/>
      <c r="G30" s="154"/>
      <c r="H30" s="154"/>
      <c r="I30" s="154"/>
      <c r="J30" s="154"/>
      <c r="K30" s="154"/>
      <c r="L30" s="154"/>
      <c r="M30" s="154"/>
      <c r="N30" s="154"/>
    </row>
    <row r="31" spans="2:7" ht="11.25">
      <c r="B31" s="157" t="s">
        <v>251</v>
      </c>
      <c r="C31" s="158"/>
      <c r="D31" s="158"/>
      <c r="E31" s="158"/>
      <c r="F31" s="159"/>
      <c r="G31" s="158"/>
    </row>
    <row r="32" spans="3:6" ht="11.25">
      <c r="C32" s="160"/>
      <c r="D32" s="160"/>
      <c r="E32" s="160"/>
      <c r="F32" s="155"/>
    </row>
    <row r="33" spans="3:6" ht="11.25">
      <c r="C33" s="161"/>
      <c r="D33" s="161"/>
      <c r="E33" s="161"/>
      <c r="F33" s="162"/>
    </row>
    <row r="34" spans="2:15" s="146" customFormat="1" ht="11.25">
      <c r="B34" s="145"/>
      <c r="C34" s="162"/>
      <c r="D34" s="145"/>
      <c r="E34" s="145"/>
      <c r="F34" s="145"/>
      <c r="G34" s="145"/>
      <c r="K34" s="145"/>
      <c r="L34" s="145"/>
      <c r="M34" s="145"/>
      <c r="N34" s="145"/>
      <c r="O34" s="145"/>
    </row>
    <row r="35" spans="2:15" s="146" customFormat="1" ht="11.25">
      <c r="B35" s="145"/>
      <c r="C35" s="164"/>
      <c r="D35" s="145"/>
      <c r="E35" s="145"/>
      <c r="F35" s="145"/>
      <c r="G35" s="145"/>
      <c r="K35" s="145"/>
      <c r="L35" s="145"/>
      <c r="M35" s="145"/>
      <c r="N35" s="145"/>
      <c r="O35" s="145"/>
    </row>
    <row r="36" spans="2:15" s="146" customFormat="1" ht="11.25">
      <c r="B36" s="145"/>
      <c r="C36" s="162"/>
      <c r="D36" s="162"/>
      <c r="E36" s="162"/>
      <c r="F36" s="162"/>
      <c r="G36" s="162"/>
      <c r="K36" s="145"/>
      <c r="L36" s="145"/>
      <c r="M36" s="145"/>
      <c r="N36" s="145"/>
      <c r="O36" s="145"/>
    </row>
    <row r="37" spans="2:15" s="146" customFormat="1" ht="11.25">
      <c r="B37" s="145"/>
      <c r="C37" s="162"/>
      <c r="D37" s="162"/>
      <c r="E37" s="162"/>
      <c r="F37" s="165"/>
      <c r="G37" s="145"/>
      <c r="K37" s="145"/>
      <c r="L37" s="145"/>
      <c r="M37" s="145"/>
      <c r="N37" s="145"/>
      <c r="O37" s="145"/>
    </row>
    <row r="38" spans="2:15" s="146" customFormat="1" ht="11.25">
      <c r="B38" s="166"/>
      <c r="C38" s="162"/>
      <c r="D38" s="145"/>
      <c r="E38" s="145"/>
      <c r="F38" s="145"/>
      <c r="G38" s="145"/>
      <c r="K38" s="145"/>
      <c r="L38" s="145"/>
      <c r="M38" s="145"/>
      <c r="N38" s="145"/>
      <c r="O38" s="145"/>
    </row>
    <row r="39" spans="2:15" s="146" customFormat="1" ht="11.25">
      <c r="B39" s="163"/>
      <c r="C39" s="162"/>
      <c r="D39" s="145"/>
      <c r="E39" s="145"/>
      <c r="F39" s="145"/>
      <c r="G39" s="145"/>
      <c r="K39" s="145"/>
      <c r="L39" s="145"/>
      <c r="M39" s="145"/>
      <c r="N39" s="145"/>
      <c r="O39" s="145"/>
    </row>
    <row r="40" spans="2:15" s="146" customFormat="1" ht="11.25">
      <c r="B40" s="167"/>
      <c r="C40" s="162"/>
      <c r="D40" s="162"/>
      <c r="E40" s="162"/>
      <c r="F40" s="165"/>
      <c r="G40" s="145"/>
      <c r="K40" s="145"/>
      <c r="L40" s="145"/>
      <c r="M40" s="145"/>
      <c r="N40" s="145"/>
      <c r="O40" s="145"/>
    </row>
    <row r="41" spans="2:15" s="146" customFormat="1" ht="11.25">
      <c r="B41" s="166"/>
      <c r="C41" s="162"/>
      <c r="D41" s="162"/>
      <c r="E41" s="162"/>
      <c r="F41" s="165"/>
      <c r="G41" s="145"/>
      <c r="K41" s="145"/>
      <c r="L41" s="145"/>
      <c r="M41" s="145"/>
      <c r="N41" s="145"/>
      <c r="O41" s="145"/>
    </row>
    <row r="42" spans="2:15" s="146" customFormat="1" ht="11.25">
      <c r="B42" s="166"/>
      <c r="C42" s="162"/>
      <c r="D42" s="162"/>
      <c r="E42" s="162"/>
      <c r="F42" s="165"/>
      <c r="G42" s="145"/>
      <c r="K42" s="145"/>
      <c r="L42" s="145"/>
      <c r="M42" s="145"/>
      <c r="N42" s="145"/>
      <c r="O42" s="145"/>
    </row>
    <row r="43" spans="2:15" s="146" customFormat="1" ht="11.25">
      <c r="B43" s="167"/>
      <c r="C43" s="162"/>
      <c r="D43" s="162"/>
      <c r="E43" s="162"/>
      <c r="F43" s="165"/>
      <c r="G43" s="145"/>
      <c r="K43" s="145"/>
      <c r="L43" s="145"/>
      <c r="M43" s="145"/>
      <c r="N43" s="145"/>
      <c r="O43" s="145"/>
    </row>
    <row r="44" spans="2:15" s="146" customFormat="1" ht="11.25">
      <c r="B44" s="166"/>
      <c r="C44" s="164"/>
      <c r="D44" s="164"/>
      <c r="E44" s="164"/>
      <c r="F44" s="168"/>
      <c r="G44" s="145"/>
      <c r="K44" s="145"/>
      <c r="L44" s="145"/>
      <c r="M44" s="145"/>
      <c r="N44" s="145"/>
      <c r="O44" s="145"/>
    </row>
    <row r="45" spans="2:15" s="146" customFormat="1" ht="11.25">
      <c r="B45" s="166"/>
      <c r="C45" s="162"/>
      <c r="D45" s="162"/>
      <c r="E45" s="162"/>
      <c r="F45" s="165"/>
      <c r="G45" s="145"/>
      <c r="K45" s="145"/>
      <c r="L45" s="145"/>
      <c r="M45" s="145"/>
      <c r="N45" s="145"/>
      <c r="O45" s="145"/>
    </row>
    <row r="46" spans="2:15" s="146" customFormat="1" ht="11.25">
      <c r="B46" s="166"/>
      <c r="C46" s="157"/>
      <c r="D46" s="157"/>
      <c r="E46" s="157"/>
      <c r="F46" s="157"/>
      <c r="G46" s="145"/>
      <c r="K46" s="145"/>
      <c r="L46" s="145"/>
      <c r="M46" s="145"/>
      <c r="N46" s="145"/>
      <c r="O46" s="145"/>
    </row>
    <row r="47" spans="2:15" s="146" customFormat="1" ht="11.25">
      <c r="B47" s="166"/>
      <c r="C47" s="157"/>
      <c r="D47" s="157"/>
      <c r="E47" s="157"/>
      <c r="F47" s="157"/>
      <c r="G47" s="145"/>
      <c r="K47" s="145"/>
      <c r="L47" s="145"/>
      <c r="M47" s="145"/>
      <c r="N47" s="145"/>
      <c r="O47" s="145"/>
    </row>
    <row r="48" spans="2:15" s="146" customFormat="1" ht="11.25">
      <c r="B48" s="166"/>
      <c r="C48" s="157"/>
      <c r="D48" s="157"/>
      <c r="E48" s="157"/>
      <c r="F48" s="157"/>
      <c r="G48" s="145"/>
      <c r="K48" s="145"/>
      <c r="L48" s="145"/>
      <c r="M48" s="145"/>
      <c r="N48" s="145"/>
      <c r="O48" s="145"/>
    </row>
    <row r="49" spans="2:15" s="146" customFormat="1" ht="11.25">
      <c r="B49" s="157"/>
      <c r="C49" s="157"/>
      <c r="D49" s="157"/>
      <c r="E49" s="157"/>
      <c r="F49" s="157"/>
      <c r="G49" s="145"/>
      <c r="K49" s="145"/>
      <c r="L49" s="145"/>
      <c r="M49" s="145"/>
      <c r="N49" s="145"/>
      <c r="O49" s="145"/>
    </row>
    <row r="50" spans="2:6" ht="11.25">
      <c r="B50" s="157"/>
      <c r="C50" s="157"/>
      <c r="D50" s="157"/>
      <c r="E50" s="157"/>
      <c r="F50" s="157"/>
    </row>
    <row r="51" spans="2:6" ht="11.25">
      <c r="B51" s="157"/>
      <c r="C51" s="157"/>
      <c r="D51" s="157"/>
      <c r="E51" s="157"/>
      <c r="F51" s="157"/>
    </row>
    <row r="52" spans="2:6" ht="11.25">
      <c r="B52" s="157"/>
      <c r="C52" s="157"/>
      <c r="D52" s="157"/>
      <c r="E52" s="157"/>
      <c r="F52" s="157"/>
    </row>
  </sheetData>
  <sheetProtection/>
  <mergeCells count="18">
    <mergeCell ref="B2:M3"/>
    <mergeCell ref="B5:B8"/>
    <mergeCell ref="C5:N5"/>
    <mergeCell ref="C6:F6"/>
    <mergeCell ref="G6:J6"/>
    <mergeCell ref="H7:H8"/>
    <mergeCell ref="I7:I8"/>
    <mergeCell ref="J7:J8"/>
    <mergeCell ref="K7:K8"/>
    <mergeCell ref="M7:M8"/>
    <mergeCell ref="K6:N6"/>
    <mergeCell ref="N7:N8"/>
    <mergeCell ref="G7:G8"/>
    <mergeCell ref="C7:C8"/>
    <mergeCell ref="E7:E8"/>
    <mergeCell ref="F7:F8"/>
    <mergeCell ref="D7:D8"/>
    <mergeCell ref="L7:L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3"/>
  </sheetPr>
  <dimension ref="B1:P56"/>
  <sheetViews>
    <sheetView zoomScalePageLayoutView="0" workbookViewId="0" topLeftCell="A1">
      <selection activeCell="K18" sqref="K18"/>
    </sheetView>
  </sheetViews>
  <sheetFormatPr defaultColWidth="11.421875" defaultRowHeight="12.75"/>
  <cols>
    <col min="1" max="1" width="4.57421875" style="2" customWidth="1"/>
    <col min="2" max="2" width="42.7109375" style="2" customWidth="1"/>
    <col min="3" max="16" width="6.140625" style="2" customWidth="1"/>
    <col min="17" max="16384" width="11.421875" style="2" customWidth="1"/>
  </cols>
  <sheetData>
    <row r="1" ht="11.25">
      <c r="B1" s="1" t="s">
        <v>175</v>
      </c>
    </row>
    <row r="2" ht="12" customHeight="1">
      <c r="B2" s="1"/>
    </row>
    <row r="3" spans="3:5" ht="11.25">
      <c r="C3" s="4"/>
      <c r="D3" s="4"/>
      <c r="E3" s="4"/>
    </row>
    <row r="5" spans="2:16" ht="11.25">
      <c r="B5" s="2" t="s">
        <v>114</v>
      </c>
      <c r="I5" s="69"/>
      <c r="P5" s="45" t="s">
        <v>77</v>
      </c>
    </row>
    <row r="6" spans="3:16" ht="11.25">
      <c r="C6" s="409">
        <v>2005</v>
      </c>
      <c r="D6" s="409">
        <v>2006</v>
      </c>
      <c r="E6" s="409">
        <v>2007</v>
      </c>
      <c r="F6" s="409">
        <v>2008</v>
      </c>
      <c r="G6" s="409">
        <v>2009</v>
      </c>
      <c r="H6" s="278">
        <v>2010</v>
      </c>
      <c r="I6" s="278">
        <v>2011</v>
      </c>
      <c r="J6" s="278">
        <v>2012</v>
      </c>
      <c r="K6" s="278">
        <v>2013</v>
      </c>
      <c r="L6" s="278">
        <v>2014</v>
      </c>
      <c r="M6" s="278">
        <v>2015</v>
      </c>
      <c r="N6" s="278">
        <v>2016</v>
      </c>
      <c r="O6" s="278">
        <v>2017</v>
      </c>
      <c r="P6" s="278">
        <v>2018</v>
      </c>
    </row>
    <row r="7" spans="2:16" ht="11.25">
      <c r="B7" s="139" t="s">
        <v>113</v>
      </c>
      <c r="C7" s="411">
        <v>197.76315217993536</v>
      </c>
      <c r="D7" s="411">
        <v>208.14013810577742</v>
      </c>
      <c r="E7" s="411">
        <v>217.4173643649692</v>
      </c>
      <c r="F7" s="411">
        <v>225.5700633417138</v>
      </c>
      <c r="G7" s="411">
        <v>228.95554435750046</v>
      </c>
      <c r="H7" s="400">
        <v>233.79382528047225</v>
      </c>
      <c r="I7" s="400">
        <v>245.79811518023388</v>
      </c>
      <c r="J7" s="400">
        <v>250.42605157915034</v>
      </c>
      <c r="K7" s="400">
        <v>260.8149733534313</v>
      </c>
      <c r="L7" s="400">
        <v>269.3885514585674</v>
      </c>
      <c r="M7" s="400">
        <v>274.7343127574167</v>
      </c>
      <c r="N7" s="400">
        <v>275.5238576168733</v>
      </c>
      <c r="O7" s="400">
        <v>284.4857660756932</v>
      </c>
      <c r="P7" s="400">
        <v>291.14091682643175</v>
      </c>
    </row>
    <row r="8" spans="2:16" ht="11.25">
      <c r="B8" s="140" t="s">
        <v>116</v>
      </c>
      <c r="C8" s="412">
        <v>8.659190842</v>
      </c>
      <c r="D8" s="413">
        <v>10.110512374999999</v>
      </c>
      <c r="E8" s="413">
        <v>10.970392757600067</v>
      </c>
      <c r="F8" s="413">
        <v>12.331218444</v>
      </c>
      <c r="G8" s="413">
        <v>12.933</v>
      </c>
      <c r="H8" s="280">
        <v>10.760543929999999</v>
      </c>
      <c r="I8" s="280">
        <v>10.355398681999999</v>
      </c>
      <c r="J8" s="279">
        <v>12.141216591000001</v>
      </c>
      <c r="K8" s="279">
        <v>12.137889644</v>
      </c>
      <c r="L8" s="279">
        <v>12.041838831000002</v>
      </c>
      <c r="M8" s="279">
        <v>12.926653270597038</v>
      </c>
      <c r="N8" s="279">
        <v>13.63847321</v>
      </c>
      <c r="O8" s="279">
        <v>13.895172087999999</v>
      </c>
      <c r="P8" s="400">
        <v>12.994123899000002</v>
      </c>
    </row>
    <row r="9" spans="2:16" ht="11.25">
      <c r="B9" s="138" t="s">
        <v>101</v>
      </c>
      <c r="C9" s="414">
        <v>4.3785663540199895</v>
      </c>
      <c r="D9" s="414">
        <v>4.8575505267810515</v>
      </c>
      <c r="E9" s="414">
        <v>5.045775800678247</v>
      </c>
      <c r="F9" s="414">
        <v>5.466691041053423</v>
      </c>
      <c r="G9" s="414">
        <v>5.648694831257674</v>
      </c>
      <c r="H9" s="410">
        <v>4.602578326049049</v>
      </c>
      <c r="I9" s="410">
        <v>4.212969116710599</v>
      </c>
      <c r="J9" s="410">
        <v>4.8482242619884195</v>
      </c>
      <c r="K9" s="410">
        <v>4.653831598675856</v>
      </c>
      <c r="L9" s="410">
        <v>4.470063321474173</v>
      </c>
      <c r="M9" s="410">
        <v>4.7051469985152305</v>
      </c>
      <c r="N9" s="410">
        <v>4.950015337316027</v>
      </c>
      <c r="O9" s="410">
        <v>4.884311886557764</v>
      </c>
      <c r="P9" s="410">
        <v>4.463173380314198</v>
      </c>
    </row>
    <row r="10" spans="2:9" ht="11.25">
      <c r="B10" s="14"/>
      <c r="C10" s="14"/>
      <c r="D10" s="14"/>
      <c r="E10" s="14"/>
      <c r="F10" s="14"/>
      <c r="G10" s="14"/>
      <c r="H10" s="14"/>
      <c r="I10" s="14"/>
    </row>
    <row r="11" spans="2:15" ht="11.25">
      <c r="B11" s="2" t="s">
        <v>115</v>
      </c>
      <c r="O11" s="45" t="s">
        <v>77</v>
      </c>
    </row>
    <row r="12" spans="3:16" ht="11.25">
      <c r="C12" s="409">
        <v>2005</v>
      </c>
      <c r="D12" s="409">
        <v>2006</v>
      </c>
      <c r="E12" s="409">
        <v>2007</v>
      </c>
      <c r="F12" s="409">
        <v>2008</v>
      </c>
      <c r="G12" s="409">
        <v>2009</v>
      </c>
      <c r="H12" s="278">
        <v>2010</v>
      </c>
      <c r="I12" s="278">
        <v>2011</v>
      </c>
      <c r="J12" s="278">
        <v>2012</v>
      </c>
      <c r="K12" s="278">
        <v>2013</v>
      </c>
      <c r="L12" s="278">
        <v>2014</v>
      </c>
      <c r="M12" s="278">
        <v>2015</v>
      </c>
      <c r="N12" s="278">
        <v>2016</v>
      </c>
      <c r="O12" s="278">
        <v>2017</v>
      </c>
      <c r="P12" s="278">
        <v>2018</v>
      </c>
    </row>
    <row r="13" spans="2:16" ht="11.25">
      <c r="B13" s="139" t="s">
        <v>113</v>
      </c>
      <c r="C13" s="411">
        <v>205.6705197100292</v>
      </c>
      <c r="D13" s="411">
        <v>216.41188487852997</v>
      </c>
      <c r="E13" s="411">
        <v>228.34240098722512</v>
      </c>
      <c r="F13" s="411">
        <v>240.33008226317438</v>
      </c>
      <c r="G13" s="411">
        <v>250.78191999153645</v>
      </c>
      <c r="H13" s="400">
        <v>259.56838407272915</v>
      </c>
      <c r="I13" s="400">
        <v>270.99025971754725</v>
      </c>
      <c r="J13" s="400">
        <v>280.86643979528594</v>
      </c>
      <c r="K13" s="400">
        <v>288.5847834918376</v>
      </c>
      <c r="L13" s="400">
        <v>295.823552563724</v>
      </c>
      <c r="M13" s="400">
        <v>301.18703355540896</v>
      </c>
      <c r="N13" s="400">
        <v>306.3987236265821</v>
      </c>
      <c r="O13" s="400">
        <v>311.34052473697676</v>
      </c>
      <c r="P13" s="400">
        <v>318.90122322421865</v>
      </c>
    </row>
    <row r="14" spans="2:16" ht="11.25">
      <c r="B14" s="140" t="s">
        <v>116</v>
      </c>
      <c r="C14" s="412">
        <v>4.218834374</v>
      </c>
      <c r="D14" s="412">
        <v>5.073086559</v>
      </c>
      <c r="E14" s="412">
        <v>4.734520986000001</v>
      </c>
      <c r="F14" s="412">
        <v>6.040324426000001</v>
      </c>
      <c r="G14" s="412">
        <v>5.8481166182</v>
      </c>
      <c r="H14" s="280">
        <v>5.382400824</v>
      </c>
      <c r="I14" s="280">
        <v>5.037771968</v>
      </c>
      <c r="J14" s="279">
        <v>5.29137803</v>
      </c>
      <c r="K14" s="279">
        <v>5.633411601000001</v>
      </c>
      <c r="L14" s="279">
        <v>5.658930682</v>
      </c>
      <c r="M14" s="279">
        <v>5.672657040679533</v>
      </c>
      <c r="N14" s="279">
        <v>6.089832905</v>
      </c>
      <c r="O14" s="279">
        <v>6.596867103999999</v>
      </c>
      <c r="P14" s="400">
        <v>7.653977390529999</v>
      </c>
    </row>
    <row r="15" spans="2:16" ht="11.25">
      <c r="B15" s="138" t="s">
        <v>101</v>
      </c>
      <c r="C15" s="414">
        <v>2.05125867331305</v>
      </c>
      <c r="D15" s="414">
        <v>2.3441811256565126</v>
      </c>
      <c r="E15" s="414">
        <v>2.073430499780406</v>
      </c>
      <c r="F15" s="414">
        <v>2.513345133126331</v>
      </c>
      <c r="G15" s="414">
        <v>2.331953044460847</v>
      </c>
      <c r="H15" s="410">
        <v>2.073596460226794</v>
      </c>
      <c r="I15" s="410">
        <v>1.8590232627736742</v>
      </c>
      <c r="J15" s="410">
        <v>1.8839481263253477</v>
      </c>
      <c r="K15" s="410">
        <v>1.952081995743666</v>
      </c>
      <c r="L15" s="410">
        <v>1.9129412222108306</v>
      </c>
      <c r="M15" s="410">
        <v>1.8834333516007562</v>
      </c>
      <c r="N15" s="410">
        <v>1.9875516558684734</v>
      </c>
      <c r="O15" s="410">
        <v>2.118859120435122</v>
      </c>
      <c r="P15" s="410">
        <v>2.4001091350936923</v>
      </c>
    </row>
    <row r="21" spans="3:5" ht="11.25">
      <c r="C21" s="4"/>
      <c r="D21" s="4"/>
      <c r="E21" s="4"/>
    </row>
    <row r="22" spans="3:9" ht="11.25">
      <c r="C22" s="70"/>
      <c r="D22" s="30"/>
      <c r="E22" s="16"/>
      <c r="I22" s="22"/>
    </row>
    <row r="23" spans="3:9" ht="11.25">
      <c r="C23" s="16"/>
      <c r="D23" s="16"/>
      <c r="E23" s="16"/>
      <c r="F23" s="22"/>
      <c r="G23" s="22"/>
      <c r="H23" s="22"/>
      <c r="I23" s="22"/>
    </row>
    <row r="24" spans="3:9" ht="11.25">
      <c r="C24" s="22"/>
      <c r="D24" s="22"/>
      <c r="E24" s="22"/>
      <c r="F24" s="22"/>
      <c r="G24" s="22"/>
      <c r="H24" s="22"/>
      <c r="I24" s="22"/>
    </row>
    <row r="25" spans="3:9" ht="11.25">
      <c r="C25" s="59"/>
      <c r="D25" s="59"/>
      <c r="E25" s="59"/>
      <c r="F25" s="135"/>
      <c r="G25" s="135"/>
      <c r="H25" s="135"/>
      <c r="I25" s="135"/>
    </row>
    <row r="26" spans="3:9" ht="11.25">
      <c r="C26" s="59"/>
      <c r="D26" s="59"/>
      <c r="E26" s="59"/>
      <c r="F26" s="135"/>
      <c r="G26" s="135"/>
      <c r="H26" s="135"/>
      <c r="I26" s="135"/>
    </row>
    <row r="27" spans="3:5" ht="11.25">
      <c r="C27" s="59"/>
      <c r="D27" s="59"/>
      <c r="E27" s="59"/>
    </row>
    <row r="28" spans="3:5" ht="11.25">
      <c r="C28" s="59"/>
      <c r="D28" s="59"/>
      <c r="E28" s="59"/>
    </row>
    <row r="29" spans="3:5" ht="11.25">
      <c r="C29" s="59"/>
      <c r="D29" s="59"/>
      <c r="E29" s="59"/>
    </row>
    <row r="30" spans="3:9" ht="11.25">
      <c r="C30" s="71"/>
      <c r="D30" s="71"/>
      <c r="E30" s="71"/>
      <c r="F30" s="71"/>
      <c r="G30" s="71"/>
      <c r="H30" s="71"/>
      <c r="I30" s="71"/>
    </row>
    <row r="31" spans="3:5" ht="11.25">
      <c r="C31" s="59"/>
      <c r="D31" s="59"/>
      <c r="E31" s="59"/>
    </row>
    <row r="32" spans="3:5" ht="11.25">
      <c r="C32" s="59"/>
      <c r="D32" s="59"/>
      <c r="E32" s="59"/>
    </row>
    <row r="33" spans="3:5" ht="11.25">
      <c r="C33" s="59"/>
      <c r="D33" s="59"/>
      <c r="E33" s="59"/>
    </row>
    <row r="34" spans="3:5" ht="11.25">
      <c r="C34" s="59"/>
      <c r="D34" s="59"/>
      <c r="E34" s="59"/>
    </row>
    <row r="35" spans="3:8" ht="11.25">
      <c r="C35" s="72"/>
      <c r="D35" s="72"/>
      <c r="E35" s="72"/>
      <c r="F35" s="72"/>
      <c r="G35" s="72"/>
      <c r="H35" s="72"/>
    </row>
    <row r="36" spans="3:8" ht="11.25">
      <c r="C36" s="71"/>
      <c r="D36" s="71"/>
      <c r="E36" s="71"/>
      <c r="F36" s="71"/>
      <c r="G36" s="71"/>
      <c r="H36" s="71"/>
    </row>
    <row r="37" spans="3:5" ht="11.25">
      <c r="C37" s="59"/>
      <c r="D37" s="59"/>
      <c r="E37" s="59"/>
    </row>
    <row r="38" spans="3:5" ht="11.25">
      <c r="C38" s="59"/>
      <c r="D38" s="59"/>
      <c r="E38" s="59"/>
    </row>
    <row r="39" spans="3:5" ht="11.25">
      <c r="C39" s="59"/>
      <c r="D39" s="59"/>
      <c r="E39" s="59"/>
    </row>
    <row r="45" ht="11.25">
      <c r="C45" s="59"/>
    </row>
    <row r="46" ht="11.25">
      <c r="C46" s="59"/>
    </row>
    <row r="47" ht="11.25">
      <c r="C47" s="59"/>
    </row>
    <row r="48" ht="11.25">
      <c r="C48" s="59"/>
    </row>
    <row r="49" ht="11.25">
      <c r="C49" s="59"/>
    </row>
    <row r="50" ht="11.25">
      <c r="C50" s="59"/>
    </row>
    <row r="51" ht="11.25">
      <c r="C51" s="59"/>
    </row>
    <row r="52" ht="11.25">
      <c r="C52" s="59"/>
    </row>
    <row r="53" ht="11.25">
      <c r="C53" s="59"/>
    </row>
    <row r="54" ht="11.25">
      <c r="C54" s="59"/>
    </row>
    <row r="55" ht="11.25">
      <c r="C55" s="59"/>
    </row>
    <row r="56" ht="11.25">
      <c r="C56" s="59"/>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B1:W53"/>
  <sheetViews>
    <sheetView zoomScale="90" zoomScaleNormal="90" zoomScalePageLayoutView="0" workbookViewId="0" topLeftCell="A1">
      <selection activeCell="B1" sqref="B1"/>
    </sheetView>
  </sheetViews>
  <sheetFormatPr defaultColWidth="11.421875" defaultRowHeight="12.75"/>
  <cols>
    <col min="1" max="1" width="3.7109375" style="2" customWidth="1"/>
    <col min="2" max="2" width="55.28125" style="2" customWidth="1"/>
    <col min="3" max="16" width="8.421875" style="2" customWidth="1"/>
    <col min="17" max="17" width="13.140625" style="2" customWidth="1"/>
    <col min="18" max="19" width="7.00390625" style="2" customWidth="1"/>
    <col min="20" max="23" width="6.00390625" style="2" customWidth="1"/>
    <col min="24" max="16384" width="11.421875" style="2" customWidth="1"/>
  </cols>
  <sheetData>
    <row r="1" ht="15" customHeight="1">
      <c r="B1" s="1" t="s">
        <v>6</v>
      </c>
    </row>
    <row r="2" ht="15" customHeight="1"/>
    <row r="3" spans="2:23" ht="61.5" customHeight="1">
      <c r="B3" s="436"/>
      <c r="C3" s="441" t="s">
        <v>148</v>
      </c>
      <c r="D3" s="442"/>
      <c r="E3" s="442"/>
      <c r="F3" s="442"/>
      <c r="G3" s="442"/>
      <c r="H3" s="442"/>
      <c r="I3" s="442"/>
      <c r="J3" s="442"/>
      <c r="K3" s="442"/>
      <c r="L3" s="442"/>
      <c r="M3" s="442"/>
      <c r="N3" s="442"/>
      <c r="O3" s="442"/>
      <c r="P3" s="443"/>
      <c r="Q3" s="438" t="s">
        <v>216</v>
      </c>
      <c r="R3" s="440" t="s">
        <v>177</v>
      </c>
      <c r="S3" s="440"/>
      <c r="T3" s="434" t="s">
        <v>180</v>
      </c>
      <c r="U3" s="435"/>
      <c r="V3" s="435"/>
      <c r="W3" s="426"/>
    </row>
    <row r="4" spans="2:23" s="1" customFormat="1" ht="186.75">
      <c r="B4" s="437"/>
      <c r="C4" s="281" t="s">
        <v>7</v>
      </c>
      <c r="D4" s="281" t="s">
        <v>8</v>
      </c>
      <c r="E4" s="281" t="s">
        <v>9</v>
      </c>
      <c r="F4" s="281" t="s">
        <v>10</v>
      </c>
      <c r="G4" s="281" t="s">
        <v>11</v>
      </c>
      <c r="H4" s="281" t="s">
        <v>37</v>
      </c>
      <c r="I4" s="281" t="s">
        <v>58</v>
      </c>
      <c r="J4" s="281" t="s">
        <v>59</v>
      </c>
      <c r="K4" s="281" t="s">
        <v>93</v>
      </c>
      <c r="L4" s="281" t="s">
        <v>102</v>
      </c>
      <c r="M4" s="281" t="s">
        <v>108</v>
      </c>
      <c r="N4" s="281" t="s">
        <v>138</v>
      </c>
      <c r="O4" s="281" t="s">
        <v>178</v>
      </c>
      <c r="P4" s="281" t="s">
        <v>213</v>
      </c>
      <c r="Q4" s="439"/>
      <c r="R4" s="242" t="s">
        <v>215</v>
      </c>
      <c r="S4" s="242" t="s">
        <v>214</v>
      </c>
      <c r="T4" s="282" t="s">
        <v>51</v>
      </c>
      <c r="U4" s="282" t="s">
        <v>205</v>
      </c>
      <c r="V4" s="283" t="s">
        <v>12</v>
      </c>
      <c r="W4" s="282" t="s">
        <v>57</v>
      </c>
    </row>
    <row r="5" spans="2:23" ht="41.25" customHeight="1">
      <c r="B5" s="376" t="s">
        <v>197</v>
      </c>
      <c r="C5" s="284">
        <f aca="true" t="shared" si="0" ref="C5:K5">SUM(C6:C9)</f>
        <v>2705.338411277036</v>
      </c>
      <c r="D5" s="284">
        <f t="shared" si="0"/>
        <v>3012.8496309523266</v>
      </c>
      <c r="E5" s="284">
        <f>SUM(E6:E9)</f>
        <v>3011.7521502887066</v>
      </c>
      <c r="F5" s="284">
        <f t="shared" si="0"/>
        <v>3081.7196077247227</v>
      </c>
      <c r="G5" s="284">
        <f>SUM(G6:G9)</f>
        <v>2946.9290678342186</v>
      </c>
      <c r="H5" s="284">
        <f t="shared" si="0"/>
        <v>2929.1491786854685</v>
      </c>
      <c r="I5" s="284">
        <f>SUM(I6:I9)</f>
        <v>2917.235070980868</v>
      </c>
      <c r="J5" s="284">
        <f t="shared" si="0"/>
        <v>2951.575361704409</v>
      </c>
      <c r="K5" s="274">
        <f t="shared" si="0"/>
        <v>2890.2979463747793</v>
      </c>
      <c r="L5" s="274">
        <f aca="true" t="shared" si="1" ref="L5:Q5">SUM(L6:L9)</f>
        <v>2970.6115421310465</v>
      </c>
      <c r="M5" s="274">
        <f t="shared" si="1"/>
        <v>3011.9069982513424</v>
      </c>
      <c r="N5" s="274">
        <f t="shared" si="1"/>
        <v>3114.716463912713</v>
      </c>
      <c r="O5" s="274">
        <f t="shared" si="1"/>
        <v>3103.662645834652</v>
      </c>
      <c r="P5" s="274">
        <f t="shared" si="1"/>
        <v>3005.5032191797604</v>
      </c>
      <c r="Q5" s="285">
        <f t="shared" si="1"/>
        <v>1377.0744618032588</v>
      </c>
      <c r="R5" s="344">
        <f>((P5/K5)^(1/5)-1)*100</f>
        <v>0.7847717603367999</v>
      </c>
      <c r="S5" s="344">
        <f>(P5/O5-1)*100</f>
        <v>-3.162696396357012</v>
      </c>
      <c r="T5" s="285">
        <f>SUM('[1]pourDataDrees'!$C$4:$C$7,'[1]pourDataDrees'!$E$4:$E$7)/SUM('[1]pourDataDrees'!$C$4:$G$7)*100</f>
        <v>91.02915503810175</v>
      </c>
      <c r="U5" s="285">
        <f>SUM('[1]pourDataDrees'!$G$4:$G$7)/SUM('[1]pourDataDrees'!$C$4:$G$7)*100</f>
        <v>0</v>
      </c>
      <c r="V5" s="285">
        <f>SUM('[1]pourDataDrees'!$D$4:$D$7)/SUM('[1]pourDataDrees'!$C$4:$G$7)*100</f>
        <v>8.970844961898248</v>
      </c>
      <c r="W5" s="285">
        <f>SUM('[1]pourDataDrees'!$F$4:$F$7)/SUM('[1]pourDataDrees'!$C$4:$G$7)*100</f>
        <v>0</v>
      </c>
    </row>
    <row r="6" spans="2:23" ht="15" customHeight="1">
      <c r="B6" s="19" t="s">
        <v>63</v>
      </c>
      <c r="C6" s="134">
        <v>1739.2974112770355</v>
      </c>
      <c r="D6" s="134">
        <v>2054.185630952327</v>
      </c>
      <c r="E6" s="134">
        <v>2049.8151502887067</v>
      </c>
      <c r="F6" s="134">
        <v>2224.111607724723</v>
      </c>
      <c r="G6" s="134">
        <v>2091.841067834219</v>
      </c>
      <c r="H6" s="134">
        <v>2108.3101786854686</v>
      </c>
      <c r="I6" s="134">
        <v>2109.5730709808677</v>
      </c>
      <c r="J6" s="134">
        <v>2135.0263617044084</v>
      </c>
      <c r="K6" s="286">
        <v>2082.0609463747787</v>
      </c>
      <c r="L6" s="286">
        <v>2173.4105421310464</v>
      </c>
      <c r="M6" s="286">
        <v>2224.8909982513424</v>
      </c>
      <c r="N6" s="286">
        <v>2336.517463912713</v>
      </c>
      <c r="O6" s="286">
        <v>2349.277645834652</v>
      </c>
      <c r="P6" s="286">
        <f>'[1]AdherentsCotisants'!$G4/1000</f>
        <v>2295.4092191797604</v>
      </c>
      <c r="Q6" s="287">
        <f>'[1]AdherentsCotisants'!$H4/1000</f>
        <v>876.938461803259</v>
      </c>
      <c r="R6" s="353">
        <f aca="true" t="shared" si="2" ref="R6:R20">((P6/K6)^(1/5)-1)*100</f>
        <v>1.9702154002070982</v>
      </c>
      <c r="S6" s="353">
        <f aca="true" t="shared" si="3" ref="S6:S20">(P6/O6-1)*100</f>
        <v>-2.2929783012409</v>
      </c>
      <c r="T6" s="287">
        <f>SUM('[1]pourDataDrees'!$C4,'[1]pourDataDrees'!$E4)/SUM('[1]pourDataDrees'!$C4:$G4)*100</f>
        <v>99.43648798074932</v>
      </c>
      <c r="U6" s="287">
        <f>'[1]pourDataDrees'!$G4/SUM('[1]pourDataDrees'!$C4:$G4)*100</f>
        <v>0</v>
      </c>
      <c r="V6" s="287">
        <f>'[1]pourDataDrees'!$D4/SUM('[1]pourDataDrees'!$C4:$G4)*100</f>
        <v>0.563512019250676</v>
      </c>
      <c r="W6" s="287">
        <f>'[1]pourDataDrees'!$F4/SUM('[1]pourDataDrees'!$C4:$G4)*100</f>
        <v>0</v>
      </c>
    </row>
    <row r="7" spans="2:23" ht="44.25" customHeight="1">
      <c r="B7" s="17" t="s">
        <v>198</v>
      </c>
      <c r="C7" s="134">
        <v>817.538</v>
      </c>
      <c r="D7" s="134">
        <v>815.622</v>
      </c>
      <c r="E7" s="134">
        <v>818.895</v>
      </c>
      <c r="F7" s="134">
        <v>790.6779999999999</v>
      </c>
      <c r="G7" s="134">
        <v>784.839</v>
      </c>
      <c r="H7" s="134">
        <v>742.732</v>
      </c>
      <c r="I7" s="134">
        <v>730.546</v>
      </c>
      <c r="J7" s="134">
        <v>725.528</v>
      </c>
      <c r="K7" s="286">
        <v>719.36</v>
      </c>
      <c r="L7" s="286">
        <v>709.987</v>
      </c>
      <c r="M7" s="286">
        <v>702.382</v>
      </c>
      <c r="N7" s="286">
        <v>695.862</v>
      </c>
      <c r="O7" s="286">
        <v>674.418</v>
      </c>
      <c r="P7" s="286">
        <f>'[1]AdherentsCotisants'!$G5/1000</f>
        <v>645.969</v>
      </c>
      <c r="Q7" s="287">
        <f>'[1]AdherentsCotisants'!$H5/1000</f>
        <v>452.917</v>
      </c>
      <c r="R7" s="353">
        <f t="shared" si="2"/>
        <v>-2.129213514661865</v>
      </c>
      <c r="S7" s="353">
        <f t="shared" si="3"/>
        <v>-4.218303781927524</v>
      </c>
      <c r="T7" s="287">
        <f>SUM('[1]pourDataDrees'!$C5,'[1]pourDataDrees'!$E5)/SUM('[1]pourDataDrees'!$C5:$G5)*100</f>
        <v>69.30270647662658</v>
      </c>
      <c r="U7" s="287">
        <f>'[1]pourDataDrees'!$G5/SUM('[1]pourDataDrees'!$C5:$G5)*100</f>
        <v>0</v>
      </c>
      <c r="V7" s="287">
        <f>'[1]pourDataDrees'!$D5/SUM('[1]pourDataDrees'!$C5:$G5)*100</f>
        <v>30.697293523373414</v>
      </c>
      <c r="W7" s="287">
        <f>'[1]pourDataDrees'!$F5/SUM('[1]pourDataDrees'!$C5:$G5)*100</f>
        <v>0</v>
      </c>
    </row>
    <row r="8" spans="2:23" ht="15" customHeight="1">
      <c r="B8" s="17" t="s">
        <v>0</v>
      </c>
      <c r="C8" s="134">
        <v>148.503</v>
      </c>
      <c r="D8" s="134">
        <v>143.042</v>
      </c>
      <c r="E8" s="134">
        <v>143.042</v>
      </c>
      <c r="F8" s="134">
        <v>66.93</v>
      </c>
      <c r="G8" s="134">
        <v>70.249</v>
      </c>
      <c r="H8" s="134">
        <v>70.298</v>
      </c>
      <c r="I8" s="134">
        <v>69.662</v>
      </c>
      <c r="J8" s="134">
        <v>84.005</v>
      </c>
      <c r="K8" s="286">
        <v>82.26</v>
      </c>
      <c r="L8" s="286">
        <v>80.897</v>
      </c>
      <c r="M8" s="286">
        <v>78.47</v>
      </c>
      <c r="N8" s="286">
        <v>74.584</v>
      </c>
      <c r="O8" s="286">
        <v>72.923</v>
      </c>
      <c r="P8" s="286">
        <f>'[1]AdherentsCotisants'!$G6/1000</f>
        <v>57.273</v>
      </c>
      <c r="Q8" s="287">
        <f>'[1]AdherentsCotisants'!$H6/1000</f>
        <v>45.61</v>
      </c>
      <c r="R8" s="353">
        <f t="shared" si="2"/>
        <v>-6.985159552788911</v>
      </c>
      <c r="S8" s="353">
        <f t="shared" si="3"/>
        <v>-21.460993102313395</v>
      </c>
      <c r="T8" s="287">
        <f>SUM('[1]pourDataDrees'!$C6,'[1]pourDataDrees'!$E6)/SUM('[1]pourDataDrees'!$C6:$G6)*100</f>
        <v>3.329666684126901</v>
      </c>
      <c r="U8" s="287">
        <f>'[1]pourDataDrees'!$G6/SUM('[1]pourDataDrees'!$C6:$G6)*100</f>
        <v>0</v>
      </c>
      <c r="V8" s="287">
        <f>'[1]pourDataDrees'!$D6/SUM('[1]pourDataDrees'!$C6:$G6)*100</f>
        <v>96.67033331587311</v>
      </c>
      <c r="W8" s="287">
        <f>'[1]pourDataDrees'!$F6/SUM('[1]pourDataDrees'!$C6:$G6)*100</f>
        <v>0</v>
      </c>
    </row>
    <row r="9" spans="2:23" ht="15" customHeight="1">
      <c r="B9" s="4" t="s">
        <v>65</v>
      </c>
      <c r="C9" s="134">
        <v>0</v>
      </c>
      <c r="D9" s="134">
        <v>0</v>
      </c>
      <c r="E9" s="134">
        <v>0</v>
      </c>
      <c r="F9" s="134">
        <v>0</v>
      </c>
      <c r="G9" s="134">
        <v>0</v>
      </c>
      <c r="H9" s="115">
        <v>7.809</v>
      </c>
      <c r="I9" s="115">
        <v>7.454</v>
      </c>
      <c r="J9" s="115">
        <v>7.016</v>
      </c>
      <c r="K9" s="288">
        <v>6.617</v>
      </c>
      <c r="L9" s="288">
        <v>6.317</v>
      </c>
      <c r="M9" s="288">
        <v>6.164</v>
      </c>
      <c r="N9" s="288">
        <v>7.753</v>
      </c>
      <c r="O9" s="288">
        <v>7.044</v>
      </c>
      <c r="P9" s="286">
        <f>'[1]AdherentsCotisants'!$G7/1000</f>
        <v>6.852</v>
      </c>
      <c r="Q9" s="287">
        <f>'[1]AdherentsCotisants'!$H7/1000</f>
        <v>1.609</v>
      </c>
      <c r="R9" s="353">
        <f t="shared" si="2"/>
        <v>0.7004111941810054</v>
      </c>
      <c r="S9" s="353">
        <f t="shared" si="3"/>
        <v>-2.725724020442921</v>
      </c>
      <c r="T9" s="287">
        <f>SUM('[1]pourDataDrees'!$C7,'[1]pourDataDrees'!$E7)/SUM('[1]pourDataDrees'!$C7:$G7)*100</f>
        <v>57.165791009924106</v>
      </c>
      <c r="U9" s="287">
        <f>'[1]pourDataDrees'!$G7/SUM('[1]pourDataDrees'!$C7:$G7)*100</f>
        <v>0</v>
      </c>
      <c r="V9" s="287">
        <f>'[1]pourDataDrees'!$D7/SUM('[1]pourDataDrees'!$C7:$G7)*100</f>
        <v>42.83420899007589</v>
      </c>
      <c r="W9" s="287">
        <f>'[1]pourDataDrees'!$F7/SUM('[1]pourDataDrees'!$C7:$G7)*100</f>
        <v>0</v>
      </c>
    </row>
    <row r="10" spans="2:23" ht="30" customHeight="1">
      <c r="B10" s="376" t="s">
        <v>199</v>
      </c>
      <c r="C10" s="284">
        <f>C11+C14</f>
        <v>4081.8855694545587</v>
      </c>
      <c r="D10" s="284">
        <f aca="true" t="shared" si="4" ref="D10:Q10">D11+D14</f>
        <v>4473.665528278631</v>
      </c>
      <c r="E10" s="284">
        <f t="shared" si="4"/>
        <v>4918.828512613317</v>
      </c>
      <c r="F10" s="284">
        <f t="shared" si="4"/>
        <v>6241.812179505044</v>
      </c>
      <c r="G10" s="284">
        <f t="shared" si="4"/>
        <v>6013.275926776364</v>
      </c>
      <c r="H10" s="284">
        <f t="shared" si="4"/>
        <v>6714.62619662926</v>
      </c>
      <c r="I10" s="284">
        <f t="shared" si="4"/>
        <v>6794.815687551868</v>
      </c>
      <c r="J10" s="284">
        <f t="shared" si="4"/>
        <v>7254.414922617405</v>
      </c>
      <c r="K10" s="284">
        <f t="shared" si="4"/>
        <v>7657.574430617029</v>
      </c>
      <c r="L10" s="284">
        <f t="shared" si="4"/>
        <v>8322.935705350425</v>
      </c>
      <c r="M10" s="284">
        <f t="shared" si="4"/>
        <v>9179.2151346377</v>
      </c>
      <c r="N10" s="284">
        <f t="shared" si="4"/>
        <v>9621.676554982516</v>
      </c>
      <c r="O10" s="284">
        <f>O11+O14</f>
        <v>10039.472613954176</v>
      </c>
      <c r="P10" s="284">
        <f>P11+P14</f>
        <v>10139.642075673055</v>
      </c>
      <c r="Q10" s="284">
        <f t="shared" si="4"/>
        <v>4704.9650397002215</v>
      </c>
      <c r="R10" s="344">
        <f t="shared" si="2"/>
        <v>5.7757904923643855</v>
      </c>
      <c r="S10" s="344">
        <f t="shared" si="3"/>
        <v>0.9977562126087136</v>
      </c>
      <c r="T10" s="284">
        <f>SUM('[1]pourDataDrees'!$C$8:$C$16,'[1]pourDataDrees'!$E$8:$E$16)/SUM('[1]pourDataDrees'!$C$8:$G$16)*100</f>
        <v>54.54400033904603</v>
      </c>
      <c r="U10" s="284">
        <f>SUM('[1]pourDataDrees'!$G$8:$G$16)/SUM('[1]pourDataDrees'!$C$8:$G$16)*100</f>
        <v>17.163308320475373</v>
      </c>
      <c r="V10" s="284">
        <f>SUM('[1]pourDataDrees'!$D$8:$D$16)/SUM('[1]pourDataDrees'!$C$8:$G$16)*100</f>
        <v>1.9343660110298377</v>
      </c>
      <c r="W10" s="284">
        <f>SUM('[1]pourDataDrees'!$F$8:$F$16)/SUM('[1]pourDataDrees'!$C$8:$G$16)*100</f>
        <v>26.35832532944876</v>
      </c>
    </row>
    <row r="11" spans="2:23" ht="15" customHeight="1">
      <c r="B11" s="377" t="s">
        <v>200</v>
      </c>
      <c r="C11" s="290">
        <f>SUM(C12:C13)</f>
        <v>1077.8209920888644</v>
      </c>
      <c r="D11" s="290">
        <f>SUM(D12:D13)</f>
        <v>1244.6751825291365</v>
      </c>
      <c r="E11" s="290">
        <f>SUM(E12:E13)</f>
        <v>1363.0362200265427</v>
      </c>
      <c r="F11" s="290">
        <f>SUM(F12:F13)</f>
        <v>1291.0438556083134</v>
      </c>
      <c r="G11" s="290">
        <f>SUM(G12:G13)</f>
        <v>1335.2627778644635</v>
      </c>
      <c r="H11" s="290">
        <f aca="true" t="shared" si="5" ref="H11:Q11">SUM(H12:H13)</f>
        <v>1429.6972282416637</v>
      </c>
      <c r="I11" s="290">
        <f t="shared" si="5"/>
        <v>1447.054498588287</v>
      </c>
      <c r="J11" s="290">
        <f t="shared" si="5"/>
        <v>1509.658324447814</v>
      </c>
      <c r="K11" s="291">
        <f t="shared" si="5"/>
        <v>1519.1149059943887</v>
      </c>
      <c r="L11" s="291">
        <f>SUM(L12:L13)</f>
        <v>1544.1490481904257</v>
      </c>
      <c r="M11" s="291">
        <f>SUM(M12:M13)</f>
        <v>1549.4058284291245</v>
      </c>
      <c r="N11" s="291">
        <f>SUM(N12:N13)</f>
        <v>1593.4156170805354</v>
      </c>
      <c r="O11" s="291">
        <f>SUM(O12:O13)</f>
        <v>1590.99947761041</v>
      </c>
      <c r="P11" s="291">
        <f>SUM(P12:P13)</f>
        <v>1673.1759679958548</v>
      </c>
      <c r="Q11" s="292">
        <f t="shared" si="5"/>
        <v>1019.952504539442</v>
      </c>
      <c r="R11" s="354">
        <f t="shared" si="2"/>
        <v>1.950696848012301</v>
      </c>
      <c r="S11" s="354">
        <f t="shared" si="3"/>
        <v>5.165085943891645</v>
      </c>
      <c r="T11" s="292">
        <f>SUM('[1]pourDataDrees'!$C$8:$C$9,'[1]pourDataDrees'!$E$8:$E$9)/SUM('[1]pourDataDrees'!$C$8:$G$9)*100</f>
        <v>87.2119480105588</v>
      </c>
      <c r="U11" s="292">
        <f>SUM('[1]pourDataDrees'!$G$8:$G$9)/SUM('[1]pourDataDrees'!$C$8:$G$9)*100</f>
        <v>0</v>
      </c>
      <c r="V11" s="292">
        <f>SUM('[1]pourDataDrees'!$D$8:$D$9)/SUM('[1]pourDataDrees'!$C$8:$G$9)*100</f>
        <v>12.788051989441197</v>
      </c>
      <c r="W11" s="292">
        <f>SUM('[1]pourDataDrees'!$F$8:$F$9)/SUM('[1]pourDataDrees'!$C$8:$G$9)*100</f>
        <v>0</v>
      </c>
    </row>
    <row r="12" spans="2:23" ht="15" customHeight="1">
      <c r="B12" s="4" t="s">
        <v>30</v>
      </c>
      <c r="C12" s="115">
        <v>822.2137924431365</v>
      </c>
      <c r="D12" s="115">
        <v>999.2650138180036</v>
      </c>
      <c r="E12" s="115">
        <v>1106.8868550495913</v>
      </c>
      <c r="F12" s="115">
        <v>1031.4472725749083</v>
      </c>
      <c r="G12" s="115">
        <v>1071.9448405153832</v>
      </c>
      <c r="H12" s="115">
        <v>1160.1962728657006</v>
      </c>
      <c r="I12" s="115">
        <v>1175.302382416596</v>
      </c>
      <c r="J12" s="115">
        <v>1242.0251304550707</v>
      </c>
      <c r="K12" s="288">
        <v>1267.5295035564102</v>
      </c>
      <c r="L12" s="288">
        <v>1267.8029004037994</v>
      </c>
      <c r="M12" s="288">
        <v>1280.4528032483079</v>
      </c>
      <c r="N12" s="288">
        <v>1329.3338113940272</v>
      </c>
      <c r="O12" s="288">
        <v>1333.031436392921</v>
      </c>
      <c r="P12" s="288">
        <f>'[1]AdherentsCotisants'!$G8/1000</f>
        <v>1413.8496762236798</v>
      </c>
      <c r="Q12" s="289">
        <f>'[1]AdherentsCotisants'!$H8/1000</f>
        <v>838.5402927680669</v>
      </c>
      <c r="R12" s="353">
        <f t="shared" si="2"/>
        <v>2.2089747542700655</v>
      </c>
      <c r="S12" s="353">
        <f t="shared" si="3"/>
        <v>6.062740729464466</v>
      </c>
      <c r="T12" s="289">
        <f>SUM('[1]pourDataDrees'!$C8,'[1]pourDataDrees'!$E8)/SUM('[1]pourDataDrees'!$C8:$G8)*100</f>
        <v>84.7063978281312</v>
      </c>
      <c r="U12" s="289">
        <f>'[1]pourDataDrees'!$G8/SUM('[1]pourDataDrees'!$C8:$G8)*100</f>
        <v>0</v>
      </c>
      <c r="V12" s="289">
        <f>'[1]pourDataDrees'!$D8/SUM('[1]pourDataDrees'!$C8:$G8)*100</f>
        <v>15.2936021718688</v>
      </c>
      <c r="W12" s="289">
        <f>'[1]pourDataDrees'!$F8/SUM('[1]pourDataDrees'!$C8:$G8)*100</f>
        <v>0</v>
      </c>
    </row>
    <row r="13" spans="2:23" ht="15" customHeight="1">
      <c r="B13" s="17" t="s">
        <v>40</v>
      </c>
      <c r="C13" s="115">
        <v>255.6071996457279</v>
      </c>
      <c r="D13" s="115">
        <v>245.4101687111328</v>
      </c>
      <c r="E13" s="115">
        <v>256.1493649769513</v>
      </c>
      <c r="F13" s="115">
        <v>259.5965830334051</v>
      </c>
      <c r="G13" s="115">
        <v>263.31793734908024</v>
      </c>
      <c r="H13" s="115">
        <v>269.500955375963</v>
      </c>
      <c r="I13" s="115">
        <v>271.7521161716912</v>
      </c>
      <c r="J13" s="115">
        <v>267.63319399274343</v>
      </c>
      <c r="K13" s="288">
        <v>251.5854024379785</v>
      </c>
      <c r="L13" s="288">
        <v>276.34614778662615</v>
      </c>
      <c r="M13" s="288">
        <v>268.9530251808167</v>
      </c>
      <c r="N13" s="288">
        <v>264.0818056865083</v>
      </c>
      <c r="O13" s="288">
        <v>257.968041217489</v>
      </c>
      <c r="P13" s="288">
        <f>'[1]AdherentsCotisants'!$G9/1000</f>
        <v>259.326291772175</v>
      </c>
      <c r="Q13" s="289">
        <f>'[1]AdherentsCotisants'!$H9/1000</f>
        <v>181.412211771375</v>
      </c>
      <c r="R13" s="353">
        <f t="shared" si="2"/>
        <v>0.6079320188562276</v>
      </c>
      <c r="S13" s="353">
        <f t="shared" si="3"/>
        <v>0.5265189239239687</v>
      </c>
      <c r="T13" s="289">
        <f>SUM('[1]pourDataDrees'!$C9,'[1]pourDataDrees'!$E9)/SUM('[1]pourDataDrees'!$C9:$G9)*100</f>
        <v>100</v>
      </c>
      <c r="U13" s="289">
        <f>'[1]pourDataDrees'!$G9/SUM('[1]pourDataDrees'!$C9:$G9)*100</f>
        <v>0</v>
      </c>
      <c r="V13" s="289">
        <f>'[1]pourDataDrees'!$D9/SUM('[1]pourDataDrees'!$C9:$G9)*100</f>
        <v>0</v>
      </c>
      <c r="W13" s="289">
        <f>'[1]pourDataDrees'!$F9/SUM('[1]pourDataDrees'!$C9:$G9)*100</f>
        <v>0</v>
      </c>
    </row>
    <row r="14" spans="2:23" ht="15" customHeight="1">
      <c r="B14" s="377" t="s">
        <v>206</v>
      </c>
      <c r="C14" s="290">
        <f>C15+C17+C18+C19</f>
        <v>3004.0645773656943</v>
      </c>
      <c r="D14" s="290">
        <f aca="true" t="shared" si="6" ref="D14:Q14">D15+D17+D18+D19</f>
        <v>3228.990345749495</v>
      </c>
      <c r="E14" s="290">
        <f t="shared" si="6"/>
        <v>3555.7922925867742</v>
      </c>
      <c r="F14" s="290">
        <f t="shared" si="6"/>
        <v>4950.76832389673</v>
      </c>
      <c r="G14" s="290">
        <f t="shared" si="6"/>
        <v>4678.0131489119</v>
      </c>
      <c r="H14" s="290">
        <f t="shared" si="6"/>
        <v>5284.928968387597</v>
      </c>
      <c r="I14" s="290">
        <f t="shared" si="6"/>
        <v>5347.761188963581</v>
      </c>
      <c r="J14" s="290">
        <f t="shared" si="6"/>
        <v>5744.756598169591</v>
      </c>
      <c r="K14" s="291">
        <f t="shared" si="6"/>
        <v>6138.45952462264</v>
      </c>
      <c r="L14" s="291">
        <f t="shared" si="6"/>
        <v>6778.786657159998</v>
      </c>
      <c r="M14" s="291">
        <f t="shared" si="6"/>
        <v>7629.8093062085745</v>
      </c>
      <c r="N14" s="291">
        <f t="shared" si="6"/>
        <v>8028.2609379019805</v>
      </c>
      <c r="O14" s="291">
        <f>O15+O17+O18+O19</f>
        <v>8448.473136343766</v>
      </c>
      <c r="P14" s="291">
        <f>P15+P17+P18+P19</f>
        <v>8466.4661076772</v>
      </c>
      <c r="Q14" s="292">
        <f t="shared" si="6"/>
        <v>3685.01253516078</v>
      </c>
      <c r="R14" s="354">
        <f t="shared" si="2"/>
        <v>6.642067314694922</v>
      </c>
      <c r="S14" s="354">
        <f t="shared" si="3"/>
        <v>0.21297305493026553</v>
      </c>
      <c r="T14" s="292">
        <f>SUM('[1]pourDataDrees'!$C$10:$C$16,'[1]pourDataDrees'!$E$10:$E$16)/SUM('[1]pourDataDrees'!$C$10:$G$16)*100</f>
        <v>48.73750432536445</v>
      </c>
      <c r="U14" s="292">
        <f>SUM('[1]pourDataDrees'!$G$10:$G$16)/SUM('[1]pourDataDrees'!$C$10:$G$16)*100</f>
        <v>20.213964650237187</v>
      </c>
      <c r="V14" s="292">
        <f>SUM('[1]pourDataDrees'!$D$10:$D$16)/SUM('[1]pourDataDrees'!$C$10:$G$16)*100</f>
        <v>0.005200303985626731</v>
      </c>
      <c r="W14" s="292">
        <f>SUM('[1]pourDataDrees'!$F$10:$F$16)/SUM('[1]pourDataDrees'!$C$10:$G$16)*100</f>
        <v>31.043330720412737</v>
      </c>
    </row>
    <row r="15" spans="2:23" ht="14.25" customHeight="1">
      <c r="B15" s="4" t="s">
        <v>202</v>
      </c>
      <c r="C15" s="115">
        <v>101.839</v>
      </c>
      <c r="D15" s="115">
        <v>202.293</v>
      </c>
      <c r="E15" s="115">
        <v>358.4726785411795</v>
      </c>
      <c r="F15" s="115">
        <v>617.6868214634941</v>
      </c>
      <c r="G15" s="115">
        <v>543.9444749338428</v>
      </c>
      <c r="H15" s="115">
        <v>692.2655487571091</v>
      </c>
      <c r="I15" s="115">
        <v>970.7780848508032</v>
      </c>
      <c r="J15" s="115">
        <v>1216.2581872054034</v>
      </c>
      <c r="K15" s="288">
        <v>1608.640952219324</v>
      </c>
      <c r="L15" s="288">
        <v>1849.7035096019745</v>
      </c>
      <c r="M15" s="288">
        <v>2086.611</v>
      </c>
      <c r="N15" s="288">
        <v>2343.311</v>
      </c>
      <c r="O15" s="288">
        <v>2557.67</v>
      </c>
      <c r="P15" s="288">
        <f>'[1]AdherentsCotisants'!$G10/1000</f>
        <v>2685.558</v>
      </c>
      <c r="Q15" s="289">
        <f>'[1]AdherentsCotisants'!$H10/1000</f>
        <v>1253.448</v>
      </c>
      <c r="R15" s="353">
        <f t="shared" si="2"/>
        <v>10.793704356889045</v>
      </c>
      <c r="S15" s="353">
        <f t="shared" si="3"/>
        <v>5.000175941384155</v>
      </c>
      <c r="T15" s="289">
        <f>SUM('[1]pourDataDrees'!$C10,'[1]pourDataDrees'!$E10)/SUM('[1]pourDataDrees'!$C10:$G10)*100</f>
        <v>0.41749237960974966</v>
      </c>
      <c r="U15" s="289">
        <f>'[1]pourDataDrees'!$G10/SUM('[1]pourDataDrees'!$C10:$G10)*100</f>
        <v>0</v>
      </c>
      <c r="V15" s="289">
        <f>'[1]pourDataDrees'!$D10/SUM('[1]pourDataDrees'!$C10:$G10)*100</f>
        <v>0</v>
      </c>
      <c r="W15" s="289">
        <f>'[1]pourDataDrees'!$F10/SUM('[1]pourDataDrees'!$C10:$G10)*100</f>
        <v>99.58250762039025</v>
      </c>
    </row>
    <row r="16" spans="2:23" ht="14.25" customHeight="1">
      <c r="B16" s="4" t="s">
        <v>86</v>
      </c>
      <c r="C16" s="293" t="s">
        <v>5</v>
      </c>
      <c r="D16" s="293" t="s">
        <v>5</v>
      </c>
      <c r="E16" s="293" t="s">
        <v>5</v>
      </c>
      <c r="F16" s="293" t="s">
        <v>5</v>
      </c>
      <c r="G16" s="293" t="s">
        <v>5</v>
      </c>
      <c r="H16" s="293" t="s">
        <v>5</v>
      </c>
      <c r="I16" s="293" t="s">
        <v>5</v>
      </c>
      <c r="J16" s="293" t="s">
        <v>5</v>
      </c>
      <c r="K16" s="294" t="s">
        <v>5</v>
      </c>
      <c r="L16" s="294" t="s">
        <v>5</v>
      </c>
      <c r="M16" s="294" t="s">
        <v>5</v>
      </c>
      <c r="N16" s="294" t="s">
        <v>5</v>
      </c>
      <c r="O16" s="294" t="s">
        <v>5</v>
      </c>
      <c r="P16" s="294" t="s">
        <v>5</v>
      </c>
      <c r="Q16" s="386" t="s">
        <v>5</v>
      </c>
      <c r="R16" s="294" t="s">
        <v>5</v>
      </c>
      <c r="S16" s="386" t="s">
        <v>5</v>
      </c>
      <c r="T16" s="289">
        <f>SUM('[1]pourDataDrees'!$C11,'[1]pourDataDrees'!$E11)/SUM('[1]pourDataDrees'!$C11:$G11)*100</f>
        <v>67.73703307349878</v>
      </c>
      <c r="U16" s="289">
        <f>'[1]pourDataDrees'!$G11/SUM('[1]pourDataDrees'!$C11:$G11)*100</f>
        <v>32.26296692650122</v>
      </c>
      <c r="V16" s="289">
        <f>'[1]pourDataDrees'!$D11/SUM('[1]pourDataDrees'!$C11:$G11)*100</f>
        <v>0</v>
      </c>
      <c r="W16" s="289">
        <f>'[1]pourDataDrees'!$F11/SUM('[1]pourDataDrees'!$C11:$G11)*100</f>
        <v>0</v>
      </c>
    </row>
    <row r="17" spans="2:23" ht="14.25" customHeight="1">
      <c r="B17" s="4" t="s">
        <v>87</v>
      </c>
      <c r="C17" s="295">
        <v>237.89935486196475</v>
      </c>
      <c r="D17" s="295">
        <v>215.23157481681295</v>
      </c>
      <c r="E17" s="295">
        <v>243.290534414416</v>
      </c>
      <c r="F17" s="295">
        <v>293.107620522728</v>
      </c>
      <c r="G17" s="295">
        <v>157.15449430673058</v>
      </c>
      <c r="H17" s="295">
        <v>102.59841702958244</v>
      </c>
      <c r="I17" s="295">
        <v>122.03908511547804</v>
      </c>
      <c r="J17" s="295">
        <v>217.79362343478036</v>
      </c>
      <c r="K17" s="295">
        <v>283.9963091446445</v>
      </c>
      <c r="L17" s="295">
        <v>285.4130946834401</v>
      </c>
      <c r="M17" s="295">
        <v>244.94901112870292</v>
      </c>
      <c r="N17" s="295">
        <v>225.2929379019802</v>
      </c>
      <c r="O17" s="295">
        <v>246.4412271090832</v>
      </c>
      <c r="P17" s="288">
        <f>'[1]AdherentsCotisants'!$G12/1000</f>
        <v>202.6011076772</v>
      </c>
      <c r="Q17" s="289">
        <f>'[1]AdherentsCotisants'!$H12/1000</f>
        <v>69.87453516078</v>
      </c>
      <c r="R17" s="353">
        <f t="shared" si="2"/>
        <v>-6.531381458231866</v>
      </c>
      <c r="S17" s="353">
        <f t="shared" si="3"/>
        <v>-17.789279799551593</v>
      </c>
      <c r="T17" s="289">
        <f>SUM('[1]pourDataDrees'!$C12,'[1]pourDataDrees'!$E12)/SUM('[1]pourDataDrees'!$C12:$G12)*100</f>
        <v>72.80509593723296</v>
      </c>
      <c r="U17" s="289">
        <f>'[1]pourDataDrees'!$G12/SUM('[1]pourDataDrees'!$C12:$G12)*100</f>
        <v>27.194904062767034</v>
      </c>
      <c r="V17" s="289">
        <f>'[1]pourDataDrees'!$D12/SUM('[1]pourDataDrees'!$C12:$G12)*100</f>
        <v>0</v>
      </c>
      <c r="W17" s="289">
        <f>'[1]pourDataDrees'!$F12/SUM('[1]pourDataDrees'!$C12:$G12)*100</f>
        <v>0</v>
      </c>
    </row>
    <row r="18" spans="2:23" ht="14.25" customHeight="1">
      <c r="B18" s="4" t="s">
        <v>139</v>
      </c>
      <c r="C18" s="295">
        <v>2663.21522250373</v>
      </c>
      <c r="D18" s="295">
        <v>2747.337770932682</v>
      </c>
      <c r="E18" s="295">
        <v>2869.3165087124567</v>
      </c>
      <c r="F18" s="295">
        <v>3922.893698218457</v>
      </c>
      <c r="G18" s="295">
        <v>3823.238039491177</v>
      </c>
      <c r="H18" s="295">
        <v>4293.247806542308</v>
      </c>
      <c r="I18" s="295">
        <v>4091.584264822407</v>
      </c>
      <c r="J18" s="295">
        <v>4170.130811745603</v>
      </c>
      <c r="K18" s="295">
        <v>4135.463091183297</v>
      </c>
      <c r="L18" s="295">
        <v>4525.874490957885</v>
      </c>
      <c r="M18" s="295">
        <v>5179.289295079871</v>
      </c>
      <c r="N18" s="295">
        <v>5301.015</v>
      </c>
      <c r="O18" s="295">
        <v>5482.047909234682</v>
      </c>
      <c r="P18" s="288">
        <f>SUM('[1]AdherentsCotisants'!$G$13,'[1]AdherentsCotisants'!$G$15:$G$16)/1000</f>
        <v>5408.242</v>
      </c>
      <c r="Q18" s="289">
        <f>SUM('[1]AdherentsCotisants'!$H$13,'[1]AdherentsCotisants'!$H$15:$H$16)/1000</f>
        <v>2278.12</v>
      </c>
      <c r="R18" s="353">
        <f t="shared" si="2"/>
        <v>5.5131025712741755</v>
      </c>
      <c r="S18" s="353">
        <f t="shared" si="3"/>
        <v>-1.3463200332553438</v>
      </c>
      <c r="T18" s="289">
        <f>SUM('[1]pourDataDrees'!$C$13,'[1]pourDataDrees'!$C$15:$C$16,'[1]pourDataDrees'!$E$13,'[1]pourDataDrees'!$E$15:$E$16)/SUM('[1]pourDataDrees'!$C$13:$G$13,'[1]pourDataDrees'!$C$15:$G$16)*100</f>
        <v>71.22170198744804</v>
      </c>
      <c r="U18" s="289">
        <f>SUM('[1]pourDataDrees'!$G$13,'[1]pourDataDrees'!$G$15:$G$16)/SUM('[1]pourDataDrees'!$C$13:$G$13,'[1]pourDataDrees'!$C$15:$G$16)*100</f>
        <v>28.770014359564534</v>
      </c>
      <c r="V18" s="289">
        <f>SUM('[1]pourDataDrees'!$D$13,'[1]pourDataDrees'!$D$15:$D$16)/SUM('[1]pourDataDrees'!$C$13:$G$13,'[1]pourDataDrees'!$C$15:$G$16)*100</f>
        <v>0.008283652987421791</v>
      </c>
      <c r="W18" s="289">
        <f>SUM('[1]pourDataDrees'!$F$13,'[1]pourDataDrees'!$F$15:$F$16)/SUM('[1]pourDataDrees'!$C$13:$G$13,'[1]pourDataDrees'!$C$15:$G$16)*100</f>
        <v>0</v>
      </c>
    </row>
    <row r="19" spans="2:23" ht="14.25" customHeight="1">
      <c r="B19" s="4" t="s">
        <v>64</v>
      </c>
      <c r="C19" s="115">
        <v>1.111</v>
      </c>
      <c r="D19" s="115">
        <v>64.12799999999999</v>
      </c>
      <c r="E19" s="115">
        <v>84.7125709187219</v>
      </c>
      <c r="F19" s="115">
        <v>117.08018369205129</v>
      </c>
      <c r="G19" s="115">
        <v>153.67614018014987</v>
      </c>
      <c r="H19" s="115">
        <v>196.8171960585967</v>
      </c>
      <c r="I19" s="115">
        <v>163.35975417489271</v>
      </c>
      <c r="J19" s="115">
        <v>140.5739757838045</v>
      </c>
      <c r="K19" s="288">
        <v>110.35917207537364</v>
      </c>
      <c r="L19" s="288">
        <v>117.79556191669798</v>
      </c>
      <c r="M19" s="288">
        <v>118.96</v>
      </c>
      <c r="N19" s="288">
        <v>158.642</v>
      </c>
      <c r="O19" s="288">
        <v>162.314</v>
      </c>
      <c r="P19" s="288">
        <f>'[1]AdherentsCotisants'!$G$14/1000</f>
        <v>170.065</v>
      </c>
      <c r="Q19" s="289">
        <f>'[1]AdherentsCotisants'!$H14/1000</f>
        <v>83.57</v>
      </c>
      <c r="R19" s="355">
        <f t="shared" si="2"/>
        <v>9.03383859904736</v>
      </c>
      <c r="S19" s="355">
        <f t="shared" si="3"/>
        <v>4.775312049484337</v>
      </c>
      <c r="T19" s="289">
        <f>SUM('[1]pourDataDrees'!$C$14,'[1]pourDataDrees'!$E$14)/SUM('[1]pourDataDrees'!$C$14:$G$14)*100</f>
        <v>51.7860817922559</v>
      </c>
      <c r="U19" s="289">
        <f>SUM('[1]pourDataDrees'!$G$14)/SUM('[1]pourDataDrees'!$C$14:$G$14)*100</f>
        <v>48.2139182077441</v>
      </c>
      <c r="V19" s="289">
        <f>'[1]pourDataDrees'!$D$14/SUM('[1]pourDataDrees'!$C$14:$G$14)*100</f>
        <v>0</v>
      </c>
      <c r="W19" s="289">
        <f>'[1]pourDataDrees'!$F$14/SUM('[1]pourDataDrees'!$C$14:$G$14)*100</f>
        <v>0</v>
      </c>
    </row>
    <row r="20" spans="2:23" ht="12.75" customHeight="1">
      <c r="B20" s="376" t="s">
        <v>146</v>
      </c>
      <c r="C20" s="284">
        <f>C10+C5</f>
        <v>6787.223980731595</v>
      </c>
      <c r="D20" s="284">
        <f aca="true" t="shared" si="7" ref="D20:Q20">D10+D5</f>
        <v>7486.515159230958</v>
      </c>
      <c r="E20" s="284">
        <f t="shared" si="7"/>
        <v>7930.5806629020235</v>
      </c>
      <c r="F20" s="284">
        <f t="shared" si="7"/>
        <v>9323.531787229767</v>
      </c>
      <c r="G20" s="284">
        <f t="shared" si="7"/>
        <v>8960.204994610584</v>
      </c>
      <c r="H20" s="284">
        <f t="shared" si="7"/>
        <v>9643.77537531473</v>
      </c>
      <c r="I20" s="284">
        <f t="shared" si="7"/>
        <v>9712.050758532736</v>
      </c>
      <c r="J20" s="284">
        <f t="shared" si="7"/>
        <v>10205.990284321813</v>
      </c>
      <c r="K20" s="284">
        <f t="shared" si="7"/>
        <v>10547.872376991809</v>
      </c>
      <c r="L20" s="284">
        <f t="shared" si="7"/>
        <v>11293.54724748147</v>
      </c>
      <c r="M20" s="284">
        <f t="shared" si="7"/>
        <v>12191.122132889042</v>
      </c>
      <c r="N20" s="284">
        <f t="shared" si="7"/>
        <v>12736.393018895229</v>
      </c>
      <c r="O20" s="284">
        <f>O10+O5</f>
        <v>13143.135259788829</v>
      </c>
      <c r="P20" s="284">
        <f>P10+P5</f>
        <v>13145.145294852815</v>
      </c>
      <c r="Q20" s="284">
        <f t="shared" si="7"/>
        <v>6082.03950150348</v>
      </c>
      <c r="R20" s="344">
        <f t="shared" si="2"/>
        <v>4.500917830066498</v>
      </c>
      <c r="S20" s="344">
        <f t="shared" si="3"/>
        <v>0.01529342142689849</v>
      </c>
      <c r="T20" s="284">
        <f>SUM('[1]pourDataDrees'!$C$4:$C$16,'[1]pourDataDrees'!$E$4:$E$16)/SUM('[1]pourDataDrees'!$C$4:$G$16)*100</f>
        <v>62.87960902074967</v>
      </c>
      <c r="U20" s="284">
        <f>SUM('[1]pourDataDrees'!$G$4:$G$16)/SUM('[1]pourDataDrees'!$C$4:$G$16)*100</f>
        <v>13.24208000109501</v>
      </c>
      <c r="V20" s="284">
        <f>SUM('[1]pourDataDrees'!$D$4:$D$16)/SUM('[1]pourDataDrees'!$C$4:$G$16)*100</f>
        <v>3.5419605385926234</v>
      </c>
      <c r="W20" s="284">
        <f>SUM('[1]pourDataDrees'!$F$4:$F$16)/SUM('[1]pourDataDrees'!$C$4:$G$16)*100</f>
        <v>20.336350439562693</v>
      </c>
    </row>
    <row r="21" spans="2:22" ht="22.5" customHeight="1">
      <c r="B21" s="14"/>
      <c r="C21" s="14"/>
      <c r="D21" s="14"/>
      <c r="E21" s="14"/>
      <c r="F21" s="14"/>
      <c r="G21" s="14"/>
      <c r="H21" s="14"/>
      <c r="I21" s="14"/>
      <c r="J21" s="14"/>
      <c r="K21" s="14"/>
      <c r="L21" s="14"/>
      <c r="M21" s="14"/>
      <c r="N21" s="14"/>
      <c r="O21" s="14"/>
      <c r="P21" s="14"/>
      <c r="Q21" s="14"/>
      <c r="R21" s="14"/>
      <c r="S21" s="14"/>
      <c r="T21" s="14"/>
      <c r="U21" s="14"/>
      <c r="V21" s="14"/>
    </row>
    <row r="24" spans="17:19" ht="11.25">
      <c r="Q24" s="22"/>
      <c r="R24" s="22"/>
      <c r="S24" s="22"/>
    </row>
    <row r="26" spans="17:19" ht="11.25">
      <c r="Q26" s="22"/>
      <c r="R26" s="22"/>
      <c r="S26" s="22"/>
    </row>
    <row r="27" spans="17:22" ht="11.25">
      <c r="Q27" s="59"/>
      <c r="R27" s="59"/>
      <c r="V27" s="60"/>
    </row>
    <row r="29" spans="2:18" ht="11.25">
      <c r="B29" s="4"/>
      <c r="C29" s="16"/>
      <c r="D29" s="16"/>
      <c r="E29" s="16"/>
      <c r="F29" s="16"/>
      <c r="G29" s="16"/>
      <c r="H29" s="16"/>
      <c r="I29" s="16"/>
      <c r="J29" s="16"/>
      <c r="K29" s="16"/>
      <c r="L29" s="16"/>
      <c r="M29" s="16"/>
      <c r="N29" s="16"/>
      <c r="O29" s="16"/>
      <c r="P29" s="16"/>
      <c r="Q29" s="4"/>
      <c r="R29" s="4"/>
    </row>
    <row r="30" spans="2:21" ht="11.25">
      <c r="B30" s="4"/>
      <c r="C30" s="4"/>
      <c r="D30" s="7"/>
      <c r="E30" s="7"/>
      <c r="F30" s="83"/>
      <c r="G30" s="83"/>
      <c r="H30" s="83"/>
      <c r="I30" s="83"/>
      <c r="J30" s="83"/>
      <c r="K30" s="83"/>
      <c r="L30" s="83"/>
      <c r="M30" s="83"/>
      <c r="N30" s="83"/>
      <c r="O30" s="83"/>
      <c r="P30" s="83"/>
      <c r="Q30" s="15"/>
      <c r="R30" s="15"/>
      <c r="U30" s="36"/>
    </row>
    <row r="31" spans="2:18" ht="11.25">
      <c r="B31" s="23"/>
      <c r="C31" s="23"/>
      <c r="D31" s="47"/>
      <c r="E31" s="47"/>
      <c r="F31" s="61"/>
      <c r="G31" s="61"/>
      <c r="H31" s="61"/>
      <c r="I31" s="30"/>
      <c r="J31" s="30"/>
      <c r="K31" s="83"/>
      <c r="L31" s="83"/>
      <c r="M31" s="83"/>
      <c r="N31" s="83"/>
      <c r="O31" s="83"/>
      <c r="P31" s="83"/>
      <c r="Q31" s="30"/>
      <c r="R31" s="30"/>
    </row>
    <row r="32" spans="2:18" ht="12.75">
      <c r="B32" s="19"/>
      <c r="C32" s="4"/>
      <c r="D32" s="85"/>
      <c r="E32" s="85"/>
      <c r="F32" s="85"/>
      <c r="G32" s="85"/>
      <c r="H32" s="85"/>
      <c r="I32" s="85"/>
      <c r="J32" s="85"/>
      <c r="K32" s="85"/>
      <c r="L32" s="85"/>
      <c r="M32" s="85"/>
      <c r="N32" s="85"/>
      <c r="O32" s="85"/>
      <c r="P32" s="85"/>
      <c r="Q32" s="30"/>
      <c r="R32" s="33"/>
    </row>
    <row r="33" spans="2:18" ht="11.25">
      <c r="B33" s="19"/>
      <c r="C33" s="4"/>
      <c r="D33" s="33"/>
      <c r="E33" s="33"/>
      <c r="F33" s="33"/>
      <c r="G33" s="33"/>
      <c r="H33" s="33"/>
      <c r="I33" s="33"/>
      <c r="J33" s="33"/>
      <c r="K33" s="33"/>
      <c r="L33" s="33"/>
      <c r="M33" s="33"/>
      <c r="N33" s="33"/>
      <c r="O33" s="33"/>
      <c r="P33" s="33"/>
      <c r="Q33" s="30"/>
      <c r="R33" s="33"/>
    </row>
    <row r="34" spans="2:18" ht="11.25">
      <c r="B34" s="19"/>
      <c r="C34" s="20"/>
      <c r="D34" s="56"/>
      <c r="E34" s="56"/>
      <c r="F34" s="33"/>
      <c r="G34" s="33"/>
      <c r="H34" s="61"/>
      <c r="I34" s="30"/>
      <c r="J34" s="30"/>
      <c r="K34" s="83"/>
      <c r="L34" s="83"/>
      <c r="M34" s="83"/>
      <c r="N34" s="83"/>
      <c r="O34" s="83"/>
      <c r="P34" s="83"/>
      <c r="Q34" s="30"/>
      <c r="R34" s="33"/>
    </row>
    <row r="35" spans="2:18" ht="11.25">
      <c r="B35" s="19"/>
      <c r="C35" s="4"/>
      <c r="D35" s="4"/>
      <c r="E35" s="46"/>
      <c r="F35" s="46"/>
      <c r="G35" s="46"/>
      <c r="H35" s="46"/>
      <c r="I35" s="46"/>
      <c r="J35" s="46"/>
      <c r="K35" s="83"/>
      <c r="L35" s="83"/>
      <c r="M35" s="83"/>
      <c r="N35" s="83"/>
      <c r="O35" s="83"/>
      <c r="P35" s="83"/>
      <c r="Q35" s="30"/>
      <c r="R35" s="46"/>
    </row>
    <row r="36" spans="2:18" ht="11.25">
      <c r="B36" s="23"/>
      <c r="D36" s="4"/>
      <c r="E36" s="4"/>
      <c r="F36" s="4"/>
      <c r="G36" s="4"/>
      <c r="H36" s="4"/>
      <c r="I36" s="4"/>
      <c r="J36" s="4"/>
      <c r="K36" s="83"/>
      <c r="L36" s="83"/>
      <c r="M36" s="83"/>
      <c r="N36" s="83"/>
      <c r="O36" s="83"/>
      <c r="P36" s="83"/>
      <c r="Q36" s="30"/>
      <c r="R36" s="4"/>
    </row>
    <row r="37" spans="2:18" ht="11.25">
      <c r="B37" s="48"/>
      <c r="D37" s="33"/>
      <c r="E37" s="33"/>
      <c r="F37" s="33"/>
      <c r="G37" s="33"/>
      <c r="H37" s="33"/>
      <c r="I37" s="33"/>
      <c r="J37" s="33"/>
      <c r="K37" s="83"/>
      <c r="L37" s="83"/>
      <c r="M37" s="83"/>
      <c r="N37" s="83"/>
      <c r="O37" s="83"/>
      <c r="P37" s="83"/>
      <c r="Q37" s="30"/>
      <c r="R37" s="33"/>
    </row>
    <row r="38" spans="2:18" ht="11.25">
      <c r="B38" s="19"/>
      <c r="D38" s="4"/>
      <c r="E38" s="46"/>
      <c r="F38" s="46"/>
      <c r="G38" s="46"/>
      <c r="H38" s="46"/>
      <c r="I38" s="46"/>
      <c r="J38" s="46"/>
      <c r="K38" s="83"/>
      <c r="L38" s="83"/>
      <c r="M38" s="83"/>
      <c r="N38" s="83"/>
      <c r="O38" s="83"/>
      <c r="P38" s="83"/>
      <c r="Q38" s="30"/>
      <c r="R38" s="46"/>
    </row>
    <row r="39" spans="2:18" ht="11.25">
      <c r="B39" s="19"/>
      <c r="D39" s="4"/>
      <c r="E39" s="4"/>
      <c r="F39" s="4"/>
      <c r="G39" s="4"/>
      <c r="H39" s="4"/>
      <c r="I39" s="4"/>
      <c r="J39" s="4"/>
      <c r="K39" s="83"/>
      <c r="L39" s="83"/>
      <c r="M39" s="83"/>
      <c r="N39" s="83"/>
      <c r="O39" s="83"/>
      <c r="P39" s="83"/>
      <c r="Q39" s="30"/>
      <c r="R39" s="4"/>
    </row>
    <row r="40" spans="2:18" ht="11.25">
      <c r="B40" s="48"/>
      <c r="D40" s="22"/>
      <c r="E40" s="22"/>
      <c r="F40" s="22"/>
      <c r="G40" s="62"/>
      <c r="H40" s="62"/>
      <c r="I40" s="62"/>
      <c r="J40" s="62"/>
      <c r="K40" s="83"/>
      <c r="L40" s="83"/>
      <c r="M40" s="83"/>
      <c r="N40" s="83"/>
      <c r="O40" s="83"/>
      <c r="P40" s="83"/>
      <c r="Q40" s="30"/>
      <c r="R40" s="63"/>
    </row>
    <row r="41" spans="2:18" ht="11.25">
      <c r="B41" s="19"/>
      <c r="D41" s="16"/>
      <c r="E41" s="22"/>
      <c r="F41" s="16"/>
      <c r="G41" s="46"/>
      <c r="H41" s="46"/>
      <c r="I41" s="46"/>
      <c r="J41" s="46"/>
      <c r="K41" s="83"/>
      <c r="L41" s="83"/>
      <c r="M41" s="83"/>
      <c r="N41" s="83"/>
      <c r="O41" s="83"/>
      <c r="P41" s="83"/>
      <c r="Q41" s="30"/>
      <c r="R41" s="46"/>
    </row>
    <row r="42" spans="2:18" ht="11.25">
      <c r="B42" s="19"/>
      <c r="D42" s="16"/>
      <c r="E42" s="22"/>
      <c r="F42" s="64"/>
      <c r="G42" s="46"/>
      <c r="H42" s="46"/>
      <c r="I42" s="46"/>
      <c r="J42" s="46"/>
      <c r="K42" s="83"/>
      <c r="L42" s="83"/>
      <c r="M42" s="83"/>
      <c r="N42" s="83"/>
      <c r="O42" s="83"/>
      <c r="P42" s="83"/>
      <c r="Q42" s="30"/>
      <c r="R42" s="65"/>
    </row>
    <row r="43" spans="2:18" ht="11.25">
      <c r="B43" s="19"/>
      <c r="D43" s="16"/>
      <c r="E43" s="22"/>
      <c r="F43" s="64"/>
      <c r="G43" s="46"/>
      <c r="H43" s="46"/>
      <c r="I43" s="46"/>
      <c r="J43" s="46"/>
      <c r="K43" s="83"/>
      <c r="L43" s="83"/>
      <c r="M43" s="83"/>
      <c r="N43" s="83"/>
      <c r="O43" s="83"/>
      <c r="P43" s="83"/>
      <c r="Q43" s="30"/>
      <c r="R43" s="65"/>
    </row>
    <row r="44" spans="2:18" ht="11.25">
      <c r="B44" s="19"/>
      <c r="D44" s="16"/>
      <c r="E44" s="22"/>
      <c r="F44" s="16"/>
      <c r="G44" s="66"/>
      <c r="H44" s="66"/>
      <c r="I44" s="66"/>
      <c r="J44" s="66"/>
      <c r="K44" s="83"/>
      <c r="L44" s="83"/>
      <c r="M44" s="83"/>
      <c r="N44" s="83"/>
      <c r="O44" s="83"/>
      <c r="P44" s="83"/>
      <c r="Q44" s="30"/>
      <c r="R44" s="67"/>
    </row>
    <row r="45" spans="2:18" ht="11.25">
      <c r="B45" s="19"/>
      <c r="G45" s="66"/>
      <c r="H45" s="66"/>
      <c r="I45" s="66"/>
      <c r="J45" s="66"/>
      <c r="K45" s="83"/>
      <c r="L45" s="83"/>
      <c r="M45" s="83"/>
      <c r="N45" s="83"/>
      <c r="O45" s="83"/>
      <c r="P45" s="83"/>
      <c r="Q45" s="30"/>
      <c r="R45" s="67"/>
    </row>
    <row r="46" spans="2:18" ht="11.25">
      <c r="B46" s="4"/>
      <c r="G46" s="4"/>
      <c r="H46" s="4"/>
      <c r="I46" s="4"/>
      <c r="J46" s="4"/>
      <c r="K46" s="83"/>
      <c r="L46" s="83"/>
      <c r="M46" s="83"/>
      <c r="N46" s="83"/>
      <c r="O46" s="83"/>
      <c r="P46" s="83"/>
      <c r="Q46" s="30"/>
      <c r="R46" s="4"/>
    </row>
    <row r="47" spans="2:18" ht="11.25">
      <c r="B47" s="4"/>
      <c r="D47" s="22"/>
      <c r="E47" s="22"/>
      <c r="F47" s="16"/>
      <c r="G47" s="4"/>
      <c r="H47" s="4"/>
      <c r="I47" s="4"/>
      <c r="J47" s="4"/>
      <c r="K47" s="83"/>
      <c r="L47" s="83"/>
      <c r="M47" s="83"/>
      <c r="N47" s="83"/>
      <c r="O47" s="83"/>
      <c r="P47" s="83"/>
      <c r="Q47" s="30"/>
      <c r="R47" s="4"/>
    </row>
    <row r="48" spans="2:18" ht="11.25">
      <c r="B48" s="4"/>
      <c r="D48" s="16"/>
      <c r="E48" s="22"/>
      <c r="F48" s="16"/>
      <c r="G48" s="4"/>
      <c r="H48" s="4"/>
      <c r="I48" s="4"/>
      <c r="J48" s="4"/>
      <c r="K48" s="4"/>
      <c r="L48" s="4"/>
      <c r="M48" s="4"/>
      <c r="N48" s="4"/>
      <c r="O48" s="4"/>
      <c r="P48" s="4"/>
      <c r="Q48" s="4"/>
      <c r="R48" s="4"/>
    </row>
    <row r="49" spans="4:6" ht="11.25">
      <c r="D49" s="16"/>
      <c r="E49" s="22"/>
      <c r="F49" s="16"/>
    </row>
    <row r="50" spans="4:6" ht="11.25">
      <c r="D50" s="16"/>
      <c r="E50" s="22"/>
      <c r="F50" s="22"/>
    </row>
    <row r="51" spans="4:6" ht="11.25">
      <c r="D51" s="16"/>
      <c r="E51" s="22"/>
      <c r="F51" s="22"/>
    </row>
    <row r="52" spans="4:6" ht="11.25">
      <c r="D52" s="22"/>
      <c r="E52" s="22"/>
      <c r="F52" s="22"/>
    </row>
    <row r="53" spans="4:6" ht="11.25">
      <c r="D53" s="22"/>
      <c r="E53" s="22"/>
      <c r="F53" s="22"/>
    </row>
  </sheetData>
  <sheetProtection/>
  <mergeCells count="5">
    <mergeCell ref="T3:W3"/>
    <mergeCell ref="B3:B4"/>
    <mergeCell ref="Q3:Q4"/>
    <mergeCell ref="R3:S3"/>
    <mergeCell ref="C3:P3"/>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B1:AF25"/>
  <sheetViews>
    <sheetView zoomScalePageLayoutView="0" workbookViewId="0" topLeftCell="A1">
      <selection activeCell="C5" sqref="C5"/>
    </sheetView>
  </sheetViews>
  <sheetFormatPr defaultColWidth="11.421875" defaultRowHeight="12.75"/>
  <cols>
    <col min="1" max="1" width="3.7109375" style="2" customWidth="1"/>
    <col min="2" max="2" width="42.140625" style="2" customWidth="1"/>
    <col min="3" max="14" width="9.7109375" style="2" customWidth="1"/>
    <col min="15" max="18" width="8.140625" style="2" customWidth="1"/>
    <col min="19" max="28" width="7.140625" style="2" customWidth="1"/>
    <col min="29" max="32" width="8.140625" style="2" customWidth="1"/>
    <col min="33" max="16384" width="11.421875" style="2" customWidth="1"/>
  </cols>
  <sheetData>
    <row r="1" ht="11.25">
      <c r="B1" s="1" t="s">
        <v>14</v>
      </c>
    </row>
    <row r="2" ht="18.75" customHeight="1"/>
    <row r="3" spans="2:32" ht="54.75" customHeight="1">
      <c r="B3" s="417"/>
      <c r="C3" s="447" t="s">
        <v>256</v>
      </c>
      <c r="D3" s="448"/>
      <c r="E3" s="448"/>
      <c r="F3" s="448"/>
      <c r="G3" s="448"/>
      <c r="H3" s="448"/>
      <c r="I3" s="448"/>
      <c r="J3" s="448"/>
      <c r="K3" s="448"/>
      <c r="L3" s="448"/>
      <c r="M3" s="448"/>
      <c r="N3" s="449"/>
      <c r="O3" s="424" t="s">
        <v>95</v>
      </c>
      <c r="P3" s="425"/>
      <c r="Q3" s="425"/>
      <c r="R3" s="444"/>
      <c r="S3" s="453" t="s">
        <v>184</v>
      </c>
      <c r="T3" s="442"/>
      <c r="U3" s="442"/>
      <c r="V3" s="442"/>
      <c r="W3" s="442"/>
      <c r="X3" s="442"/>
      <c r="Y3" s="442"/>
      <c r="Z3" s="442"/>
      <c r="AA3" s="442"/>
      <c r="AB3" s="443"/>
      <c r="AC3" s="424" t="s">
        <v>181</v>
      </c>
      <c r="AD3" s="425"/>
      <c r="AE3" s="425"/>
      <c r="AF3" s="444"/>
    </row>
    <row r="4" spans="2:32" ht="24" customHeight="1">
      <c r="B4" s="427"/>
      <c r="C4" s="450"/>
      <c r="D4" s="451"/>
      <c r="E4" s="451"/>
      <c r="F4" s="451"/>
      <c r="G4" s="451"/>
      <c r="H4" s="451"/>
      <c r="I4" s="451"/>
      <c r="J4" s="451"/>
      <c r="K4" s="451"/>
      <c r="L4" s="451"/>
      <c r="M4" s="451"/>
      <c r="N4" s="452"/>
      <c r="O4" s="424" t="s">
        <v>96</v>
      </c>
      <c r="P4" s="445"/>
      <c r="Q4" s="446" t="s">
        <v>97</v>
      </c>
      <c r="R4" s="444"/>
      <c r="S4" s="454"/>
      <c r="T4" s="455"/>
      <c r="U4" s="455"/>
      <c r="V4" s="455"/>
      <c r="W4" s="455"/>
      <c r="X4" s="455"/>
      <c r="Y4" s="455"/>
      <c r="Z4" s="455"/>
      <c r="AA4" s="455"/>
      <c r="AB4" s="456"/>
      <c r="AC4" s="424" t="s">
        <v>96</v>
      </c>
      <c r="AD4" s="445"/>
      <c r="AE4" s="446" t="s">
        <v>97</v>
      </c>
      <c r="AF4" s="444"/>
    </row>
    <row r="5" spans="2:32" ht="28.5" customHeight="1">
      <c r="B5" s="427"/>
      <c r="C5" s="296">
        <v>2007</v>
      </c>
      <c r="D5" s="296">
        <v>2008</v>
      </c>
      <c r="E5" s="296">
        <v>2009</v>
      </c>
      <c r="F5" s="296">
        <v>2010</v>
      </c>
      <c r="G5" s="296">
        <v>2011</v>
      </c>
      <c r="H5" s="296">
        <v>2012</v>
      </c>
      <c r="I5" s="296">
        <v>2013</v>
      </c>
      <c r="J5" s="296">
        <v>2014</v>
      </c>
      <c r="K5" s="296">
        <v>2015</v>
      </c>
      <c r="L5" s="296">
        <v>2016</v>
      </c>
      <c r="M5" s="296">
        <v>2017</v>
      </c>
      <c r="N5" s="296">
        <v>2018</v>
      </c>
      <c r="O5" s="297" t="s">
        <v>179</v>
      </c>
      <c r="P5" s="297" t="s">
        <v>214</v>
      </c>
      <c r="Q5" s="297" t="s">
        <v>179</v>
      </c>
      <c r="R5" s="297" t="s">
        <v>179</v>
      </c>
      <c r="S5" s="298">
        <v>2009</v>
      </c>
      <c r="T5" s="298">
        <v>2010</v>
      </c>
      <c r="U5" s="298">
        <v>2011</v>
      </c>
      <c r="V5" s="298">
        <v>2012</v>
      </c>
      <c r="W5" s="298">
        <v>2013</v>
      </c>
      <c r="X5" s="298">
        <v>2014</v>
      </c>
      <c r="Y5" s="298">
        <v>2015</v>
      </c>
      <c r="Z5" s="298">
        <v>2016</v>
      </c>
      <c r="AA5" s="298">
        <v>2017</v>
      </c>
      <c r="AB5" s="298">
        <v>2018</v>
      </c>
      <c r="AC5" s="297" t="s">
        <v>179</v>
      </c>
      <c r="AD5" s="297" t="s">
        <v>214</v>
      </c>
      <c r="AE5" s="297" t="s">
        <v>179</v>
      </c>
      <c r="AF5" s="297" t="s">
        <v>214</v>
      </c>
    </row>
    <row r="6" spans="2:32" ht="39" customHeight="1">
      <c r="B6" s="376" t="s">
        <v>197</v>
      </c>
      <c r="C6" s="299">
        <v>707.2899278456387</v>
      </c>
      <c r="D6" s="299">
        <v>670.9971361759805</v>
      </c>
      <c r="E6" s="299">
        <v>682.9470789808988</v>
      </c>
      <c r="F6" s="299">
        <v>703.4533426203412</v>
      </c>
      <c r="G6" s="299">
        <v>691.2447695044104</v>
      </c>
      <c r="H6" s="299">
        <v>730.9167539994146</v>
      </c>
      <c r="I6" s="299">
        <v>821.8592061798211</v>
      </c>
      <c r="J6" s="299">
        <v>907.9778240095573</v>
      </c>
      <c r="K6" s="299">
        <v>934.4504563538972</v>
      </c>
      <c r="L6" s="299">
        <v>955.9490258497906</v>
      </c>
      <c r="M6" s="299">
        <v>1000.5330729382255</v>
      </c>
      <c r="N6" s="299">
        <f>SUM('[1]AdherentsCotisants'!$C$4:$C$7)/SUM('[1]AdherentsCotisants'!$G$4:$G$7)</f>
        <v>726.2628434634349</v>
      </c>
      <c r="O6" s="360">
        <f>(M6/L6-1)*100</f>
        <v>4.663851929636298</v>
      </c>
      <c r="P6" s="360">
        <f>(N6/M6-1)*100</f>
        <v>-27.41241013346537</v>
      </c>
      <c r="Q6" s="360">
        <f>((1+O6/100)/(1+Inflation!F$9)-1)*100</f>
        <v>3.4306990350308597</v>
      </c>
      <c r="R6" s="360">
        <f>((1+P6/100)/(1+Inflation!G$9)-1)*100</f>
        <v>-28.548893129346165</v>
      </c>
      <c r="S6" s="300">
        <v>1206.9515266155677</v>
      </c>
      <c r="T6" s="300">
        <v>1217.2626131426612</v>
      </c>
      <c r="U6" s="301">
        <v>1225.7520296187258</v>
      </c>
      <c r="V6" s="301">
        <v>1310.8283832074785</v>
      </c>
      <c r="W6" s="301">
        <v>1630.0958703367294</v>
      </c>
      <c r="X6" s="301">
        <v>1709.9106378076851</v>
      </c>
      <c r="Y6" s="301">
        <v>2109.849103944017</v>
      </c>
      <c r="Z6" s="301">
        <v>2025.2266977792196</v>
      </c>
      <c r="AA6" s="301">
        <v>2039.9861191870607</v>
      </c>
      <c r="AB6" s="301">
        <f>SUM('[1]AdherentsCotisants'!$C$4:$C$7)/SUM('[1]AdherentsCotisants'!$H$4:$H$7)</f>
        <v>1585.088805685696</v>
      </c>
      <c r="AC6" s="360">
        <f>(AA6/Z6-1)*100</f>
        <v>0.7287787300071402</v>
      </c>
      <c r="AD6" s="360">
        <f>(AB6/AA6-1)*100</f>
        <v>-22.299039646536546</v>
      </c>
      <c r="AE6" s="360">
        <f>(AA6/(Z6*(1+Inflation!H$12))-1)*100</f>
        <v>0.7287787300071402</v>
      </c>
      <c r="AF6" s="360">
        <f>(AB6/(AA6*(1+Inflation!G$12))-1)*100</f>
        <v>-23.711007820580132</v>
      </c>
    </row>
    <row r="7" spans="2:32" ht="15" customHeight="1">
      <c r="B7" s="90" t="s">
        <v>15</v>
      </c>
      <c r="C7" s="302">
        <v>509.03251559973415</v>
      </c>
      <c r="D7" s="303">
        <v>479.5714957161245</v>
      </c>
      <c r="E7" s="303">
        <v>507.614318819923</v>
      </c>
      <c r="F7" s="303">
        <v>537.2372945053961</v>
      </c>
      <c r="G7" s="303">
        <v>543.779477838435</v>
      </c>
      <c r="H7" s="303">
        <v>606.3027348133597</v>
      </c>
      <c r="I7" s="303">
        <v>715.2341326643686</v>
      </c>
      <c r="J7" s="303">
        <v>842.6371927893113</v>
      </c>
      <c r="K7" s="303">
        <v>929.2370253755881</v>
      </c>
      <c r="L7" s="303">
        <v>952.6999195941632</v>
      </c>
      <c r="M7" s="303">
        <v>1017.7596523081564</v>
      </c>
      <c r="N7" s="303">
        <f>'[1]AdherentsCotisants'!$C4/'[1]AdherentsCotisants'!$G4</f>
        <v>689.1755216376142</v>
      </c>
      <c r="O7" s="361">
        <f aca="true" t="shared" si="0" ref="O7:O19">(M7/L7-1)*100</f>
        <v>6.828984801605498</v>
      </c>
      <c r="P7" s="361">
        <f aca="true" t="shared" si="1" ref="P7:P19">(N7/M7-1)*100</f>
        <v>-32.28504194731565</v>
      </c>
      <c r="Q7" s="359">
        <f>((1+O7/100)/(1+Inflation!F$9)-1)*100</f>
        <v>5.570322241350945</v>
      </c>
      <c r="R7" s="359">
        <f>((1+P7/100)/(1+Inflation!G$9)-1)*100</f>
        <v>-33.345235549764176</v>
      </c>
      <c r="S7" s="304">
        <v>1068.6491286499554</v>
      </c>
      <c r="T7" s="304">
        <v>1128.5735914393513</v>
      </c>
      <c r="U7" s="305">
        <v>1178.8341564756743</v>
      </c>
      <c r="V7" s="305">
        <v>1341.9685879268434</v>
      </c>
      <c r="W7" s="305">
        <v>1630.247034498815</v>
      </c>
      <c r="X7" s="305">
        <v>1881.6824239779914</v>
      </c>
      <c r="Y7" s="305">
        <v>2153.3975405998913</v>
      </c>
      <c r="Z7" s="305">
        <v>2491.406037717283</v>
      </c>
      <c r="AA7" s="305">
        <v>2436.86280036964</v>
      </c>
      <c r="AB7" s="305">
        <f>'[1]AdherentsCotisants'!$I4</f>
        <v>1803.93484252822</v>
      </c>
      <c r="AC7" s="361">
        <f aca="true" t="shared" si="2" ref="AC7:AC20">(AA7/Z7-1)*100</f>
        <v>-2.1892552447058233</v>
      </c>
      <c r="AD7" s="361">
        <f aca="true" t="shared" si="3" ref="AD7:AD20">(AB7/AA7-1)*100</f>
        <v>-25.973064948318513</v>
      </c>
      <c r="AE7" s="361">
        <f>(AA7/(Z7*(1+Inflation!H$12))-1)*100</f>
        <v>-2.1892552447058233</v>
      </c>
      <c r="AF7" s="361">
        <f>(AB7/(AA7*(1+Inflation!G$12))-1)*100</f>
        <v>-27.318269381307324</v>
      </c>
    </row>
    <row r="8" spans="2:32" ht="35.25" customHeight="1">
      <c r="B8" s="90" t="s">
        <v>61</v>
      </c>
      <c r="C8" s="302">
        <v>1015.2461548794412</v>
      </c>
      <c r="D8" s="303">
        <v>1056.135832981288</v>
      </c>
      <c r="E8" s="303">
        <v>1042.7259973098814</v>
      </c>
      <c r="F8" s="303">
        <v>1079.0047621483927</v>
      </c>
      <c r="G8" s="303">
        <v>1027.7889701675185</v>
      </c>
      <c r="H8" s="303">
        <v>1022.6058759965158</v>
      </c>
      <c r="I8" s="303">
        <v>1069.732647075178</v>
      </c>
      <c r="J8" s="303">
        <v>1065.909160308569</v>
      </c>
      <c r="K8" s="303">
        <v>918.889171419541</v>
      </c>
      <c r="L8" s="303">
        <v>943.3264670293822</v>
      </c>
      <c r="M8" s="303">
        <v>924.1619455589856</v>
      </c>
      <c r="N8" s="303">
        <f>'[1]AdherentsCotisants'!$C5/'[1]AdherentsCotisants'!$G5</f>
        <v>839.0895739578834</v>
      </c>
      <c r="O8" s="361">
        <f t="shared" si="0"/>
        <v>-2.031589501643838</v>
      </c>
      <c r="P8" s="361">
        <f t="shared" si="1"/>
        <v>-9.2053532402966</v>
      </c>
      <c r="Q8" s="359">
        <f>((1+O8/100)/(1+Inflation!F$9)-1)*100</f>
        <v>-3.185856488369687</v>
      </c>
      <c r="R8" s="359">
        <f>((1+P8/100)/(1+Inflation!G$9)-1)*100</f>
        <v>-10.626898883968384</v>
      </c>
      <c r="S8" s="304">
        <v>1342.7547673162921</v>
      </c>
      <c r="T8" s="304">
        <v>1291.7843182766999</v>
      </c>
      <c r="U8" s="305">
        <v>1229.6189223004287</v>
      </c>
      <c r="V8" s="305">
        <v>1222.260435508901</v>
      </c>
      <c r="W8" s="305">
        <v>1604.3123906775438</v>
      </c>
      <c r="X8" s="305">
        <v>1408.330055586468</v>
      </c>
      <c r="Y8" s="305">
        <v>1236.0221499594</v>
      </c>
      <c r="Z8" s="305">
        <v>1294.0016558804455</v>
      </c>
      <c r="AA8" s="305">
        <v>1288.198074951636</v>
      </c>
      <c r="AB8" s="305">
        <f>'[1]AdherentsCotisants'!$I5</f>
        <v>1196.74433284686</v>
      </c>
      <c r="AC8" s="361">
        <f t="shared" si="2"/>
        <v>-0.4484987250546135</v>
      </c>
      <c r="AD8" s="361">
        <f t="shared" si="3"/>
        <v>-7.099354042134365</v>
      </c>
      <c r="AE8" s="361">
        <f>(AA8/(Z8*(1+Inflation!H$12))-1)*100</f>
        <v>-0.4484987250546135</v>
      </c>
      <c r="AF8" s="361">
        <f>(AB8/(AA8*(1+Inflation!G$12))-1)*100</f>
        <v>-8.787528227419717</v>
      </c>
    </row>
    <row r="9" spans="2:32" ht="15" customHeight="1">
      <c r="B9" s="90" t="s">
        <v>0</v>
      </c>
      <c r="C9" s="302">
        <v>1703.0961310285463</v>
      </c>
      <c r="D9" s="303">
        <v>1480.3471938089615</v>
      </c>
      <c r="E9" s="303">
        <v>1447.5377760420365</v>
      </c>
      <c r="F9" s="303">
        <v>1363.8229663943798</v>
      </c>
      <c r="G9" s="303">
        <v>1362.4524808075064</v>
      </c>
      <c r="H9" s="303">
        <v>1310.653901553479</v>
      </c>
      <c r="I9" s="303">
        <v>1432.1588986141503</v>
      </c>
      <c r="J9" s="303">
        <v>1251.04254793132</v>
      </c>
      <c r="K9" s="303">
        <v>1238.6024085637823</v>
      </c>
      <c r="L9" s="303">
        <v>1186.1178402874611</v>
      </c>
      <c r="M9" s="303">
        <v>1196.455987822772</v>
      </c>
      <c r="N9" s="303">
        <f>'[1]AdherentsCotisants'!$C6/'[1]AdherentsCotisants'!$G6</f>
        <v>947.841321390533</v>
      </c>
      <c r="O9" s="361">
        <f t="shared" si="0"/>
        <v>0.8715953157576006</v>
      </c>
      <c r="P9" s="361">
        <f t="shared" si="1"/>
        <v>-20.77925715300658</v>
      </c>
      <c r="Q9" s="359">
        <f>((1+O9/100)/(1+Inflation!F$9)-1)*100</f>
        <v>-0.3168770885517702</v>
      </c>
      <c r="R9" s="359">
        <f>((1+P9/100)/(1+Inflation!G$9)-1)*100</f>
        <v>-22.019593515354398</v>
      </c>
      <c r="S9" s="304">
        <v>1965.5157801703358</v>
      </c>
      <c r="T9" s="304">
        <v>1800.8474684430887</v>
      </c>
      <c r="U9" s="305">
        <v>1810.4546370491648</v>
      </c>
      <c r="V9" s="305">
        <v>1753.0408082030383</v>
      </c>
      <c r="W9" s="305">
        <v>1907.689919844547</v>
      </c>
      <c r="X9" s="305">
        <v>1756.7364867210556</v>
      </c>
      <c r="Y9" s="305">
        <v>1719.6845429774585</v>
      </c>
      <c r="Z9" s="305">
        <v>1637.278149985194</v>
      </c>
      <c r="AA9" s="305">
        <v>1648.6991685563114</v>
      </c>
      <c r="AB9" s="305">
        <f>'[1]AdherentsCotisants'!$I6</f>
        <v>1190.21521596141</v>
      </c>
      <c r="AC9" s="361">
        <f t="shared" si="2"/>
        <v>0.697561289217763</v>
      </c>
      <c r="AD9" s="361">
        <f t="shared" si="3"/>
        <v>-27.808830218333547</v>
      </c>
      <c r="AE9" s="361">
        <f>(AA9/(Z9*(1+Inflation!H$12))-1)*100</f>
        <v>0.697561289217763</v>
      </c>
      <c r="AF9" s="361">
        <f>(AB9/(AA9*(1+Inflation!G$12))-1)*100</f>
        <v>-29.12067544798067</v>
      </c>
    </row>
    <row r="10" spans="2:32" s="1" customFormat="1" ht="15" customHeight="1">
      <c r="B10" s="93" t="s">
        <v>80</v>
      </c>
      <c r="C10" s="306">
        <v>1007.9220125786163</v>
      </c>
      <c r="D10" s="307">
        <v>849.717887154862</v>
      </c>
      <c r="E10" s="307">
        <v>420.17951807228917</v>
      </c>
      <c r="F10" s="307">
        <v>627.1349724676654</v>
      </c>
      <c r="G10" s="307">
        <v>650.9494231285216</v>
      </c>
      <c r="H10" s="307">
        <v>661.676881413911</v>
      </c>
      <c r="I10" s="307">
        <v>678.3388242405924</v>
      </c>
      <c r="J10" s="307">
        <v>786.9941427892987</v>
      </c>
      <c r="K10" s="307">
        <v>677.90038935756</v>
      </c>
      <c r="L10" s="307">
        <v>810.2034051334967</v>
      </c>
      <c r="M10" s="307">
        <v>625.8002555366269</v>
      </c>
      <c r="N10" s="307">
        <f>'[1]AdherentsCotisants'!$C7/'[1]AdherentsCotisants'!$G7</f>
        <v>661.6898715703444</v>
      </c>
      <c r="O10" s="362">
        <f t="shared" si="0"/>
        <v>-22.760105478263924</v>
      </c>
      <c r="P10" s="362">
        <f t="shared" si="1"/>
        <v>5.734995426446732</v>
      </c>
      <c r="Q10" s="359">
        <f>((1+O10/100)/(1+Inflation!F$9)-1)*100</f>
        <v>-23.670148418137103</v>
      </c>
      <c r="R10" s="359">
        <f>((1+P10/100)/(1+Inflation!G$9)-1)*100</f>
        <v>4.0795330451686596</v>
      </c>
      <c r="S10" s="308">
        <v>1053.622356495468</v>
      </c>
      <c r="T10" s="308">
        <v>1612.5442871254527</v>
      </c>
      <c r="U10" s="309" t="s">
        <v>5</v>
      </c>
      <c r="V10" s="309">
        <v>761.5362532808399</v>
      </c>
      <c r="W10" s="309">
        <v>777.9147313691508</v>
      </c>
      <c r="X10" s="309">
        <v>905.709965385316</v>
      </c>
      <c r="Y10" s="309">
        <v>775.9662024141132</v>
      </c>
      <c r="Z10" s="309">
        <v>1030.6</v>
      </c>
      <c r="AA10" s="309">
        <v>2580.876463700234</v>
      </c>
      <c r="AB10" s="305">
        <f>'[1]AdherentsCotisants'!$I7</f>
        <v>2817.83654443754</v>
      </c>
      <c r="AC10" s="362">
        <f t="shared" si="2"/>
        <v>150.42465201826457</v>
      </c>
      <c r="AD10" s="362">
        <f t="shared" si="3"/>
        <v>9.181380204365652</v>
      </c>
      <c r="AE10" s="361">
        <f>(AA10/(Z10*(1+Inflation!H$12))-1)*100</f>
        <v>150.42465201826457</v>
      </c>
      <c r="AF10" s="361">
        <f>(AB10/(AA10*(1+Inflation!G$12))-1)*100</f>
        <v>7.197355382208537</v>
      </c>
    </row>
    <row r="11" spans="2:32" ht="30" customHeight="1">
      <c r="B11" s="376" t="s">
        <v>199</v>
      </c>
      <c r="C11" s="310" t="s">
        <v>5</v>
      </c>
      <c r="D11" s="310" t="s">
        <v>5</v>
      </c>
      <c r="E11" s="310" t="s">
        <v>5</v>
      </c>
      <c r="F11" s="310" t="s">
        <v>5</v>
      </c>
      <c r="G11" s="310" t="s">
        <v>5</v>
      </c>
      <c r="H11" s="310" t="s">
        <v>5</v>
      </c>
      <c r="I11" s="310" t="s">
        <v>5</v>
      </c>
      <c r="J11" s="310" t="s">
        <v>5</v>
      </c>
      <c r="K11" s="310" t="s">
        <v>5</v>
      </c>
      <c r="L11" s="310" t="s">
        <v>5</v>
      </c>
      <c r="M11" s="310" t="s">
        <v>5</v>
      </c>
      <c r="N11" s="310" t="s">
        <v>5</v>
      </c>
      <c r="O11" s="357" t="s">
        <v>5</v>
      </c>
      <c r="P11" s="357" t="s">
        <v>5</v>
      </c>
      <c r="Q11" s="357" t="s">
        <v>5</v>
      </c>
      <c r="R11" s="357" t="s">
        <v>5</v>
      </c>
      <c r="S11" s="300" t="s">
        <v>5</v>
      </c>
      <c r="T11" s="300" t="s">
        <v>5</v>
      </c>
      <c r="U11" s="301" t="s">
        <v>5</v>
      </c>
      <c r="V11" s="301" t="s">
        <v>5</v>
      </c>
      <c r="W11" s="301" t="s">
        <v>5</v>
      </c>
      <c r="X11" s="301" t="s">
        <v>5</v>
      </c>
      <c r="Y11" s="301" t="s">
        <v>5</v>
      </c>
      <c r="Z11" s="301" t="s">
        <v>5</v>
      </c>
      <c r="AA11" s="301" t="s">
        <v>5</v>
      </c>
      <c r="AB11" s="301" t="s">
        <v>5</v>
      </c>
      <c r="AC11" s="357" t="s">
        <v>5</v>
      </c>
      <c r="AD11" s="357" t="s">
        <v>5</v>
      </c>
      <c r="AE11" s="357" t="s">
        <v>5</v>
      </c>
      <c r="AF11" s="357" t="s">
        <v>5</v>
      </c>
    </row>
    <row r="12" spans="2:32" ht="15" customHeight="1">
      <c r="B12" s="377" t="s">
        <v>200</v>
      </c>
      <c r="C12" s="311">
        <v>1541.770718106078</v>
      </c>
      <c r="D12" s="312">
        <v>1887.2303623854998</v>
      </c>
      <c r="E12" s="312">
        <v>1850.0625227952087</v>
      </c>
      <c r="F12" s="312">
        <v>1786.1970561730252</v>
      </c>
      <c r="G12" s="312">
        <v>1871.8660052843754</v>
      </c>
      <c r="H12" s="312">
        <v>1982.0838757934882</v>
      </c>
      <c r="I12" s="312">
        <v>2140.9182016662226</v>
      </c>
      <c r="J12" s="312">
        <v>1964.652227378954</v>
      </c>
      <c r="K12" s="312">
        <v>2001.2252584211255</v>
      </c>
      <c r="L12" s="312">
        <v>1922.3949700683274</v>
      </c>
      <c r="M12" s="312">
        <v>1942.0043079407303</v>
      </c>
      <c r="N12" s="312">
        <f>SUM('[1]AdherentsCotisants'!$C$8:$C$9)/SUM('[1]AdherentsCotisants'!$G$8:$G$9)</f>
        <v>1860.321741130644</v>
      </c>
      <c r="O12" s="363">
        <f t="shared" si="0"/>
        <v>1.0200472940119054</v>
      </c>
      <c r="P12" s="363">
        <f t="shared" si="1"/>
        <v>-4.206096066630305</v>
      </c>
      <c r="Q12" s="363">
        <f>((1+O12/100)/(1+Inflation!F$9)-1)*100</f>
        <v>-0.1701741763151854</v>
      </c>
      <c r="R12" s="363">
        <f>((1+P12/100)/(1+Inflation!G$9)-1)*100</f>
        <v>-5.7059136405363535</v>
      </c>
      <c r="S12" s="313">
        <v>2485.6265432098767</v>
      </c>
      <c r="T12" s="313">
        <v>2657.541899441341</v>
      </c>
      <c r="U12" s="314">
        <v>2722.501171089452</v>
      </c>
      <c r="V12" s="314">
        <v>2872.4372828019154</v>
      </c>
      <c r="W12" s="314">
        <v>3174.552496101319</v>
      </c>
      <c r="X12" s="314">
        <v>2963.635806269662</v>
      </c>
      <c r="Y12" s="314">
        <v>3118.986770243328</v>
      </c>
      <c r="Z12" s="314">
        <v>3045.8570492834665</v>
      </c>
      <c r="AA12" s="314">
        <v>3054.7797345882004</v>
      </c>
      <c r="AB12" s="314">
        <f>SUM('[1]AdherentsCotisants'!$C$8:$C$9)/SUM('[1]AdherentsCotisants'!$H$8:$H$9)</f>
        <v>3051.7554652267954</v>
      </c>
      <c r="AC12" s="363">
        <f t="shared" si="2"/>
        <v>0.29294497937233377</v>
      </c>
      <c r="AD12" s="363">
        <f t="shared" si="3"/>
        <v>-0.09900122510183573</v>
      </c>
      <c r="AE12" s="363">
        <f>(AA12/(Z12*(1+Inflation!H$12))-1)*100</f>
        <v>0.29294497937233377</v>
      </c>
      <c r="AF12" s="363">
        <f>(AB12/(AA12*(1+Inflation!G$12))-1)*100</f>
        <v>-1.9143845895242761</v>
      </c>
    </row>
    <row r="13" spans="2:32" ht="15" customHeight="1">
      <c r="B13" s="91" t="s">
        <v>30</v>
      </c>
      <c r="C13" s="302">
        <v>1818.270131119423</v>
      </c>
      <c r="D13" s="303">
        <v>2151.4280957726996</v>
      </c>
      <c r="E13" s="303">
        <v>2091.22809480034</v>
      </c>
      <c r="F13" s="303">
        <v>2007.3107532852118</v>
      </c>
      <c r="G13" s="303">
        <v>2101.7688596196613</v>
      </c>
      <c r="H13" s="303">
        <v>2211.740299484522</v>
      </c>
      <c r="I13" s="303">
        <v>2376.3010908613164</v>
      </c>
      <c r="J13" s="303">
        <v>2183.066136793408</v>
      </c>
      <c r="K13" s="303">
        <v>2223.9345689087295</v>
      </c>
      <c r="L13" s="303">
        <v>2129.822352168241</v>
      </c>
      <c r="M13" s="303">
        <v>2148.7701608529082</v>
      </c>
      <c r="N13" s="303">
        <f>'[1]AdherentsCotisants'!$C8/'[1]AdherentsCotisants'!$G8</f>
        <v>2038.1657494853105</v>
      </c>
      <c r="O13" s="361">
        <f t="shared" si="0"/>
        <v>0.8896426814836156</v>
      </c>
      <c r="P13" s="361">
        <f t="shared" si="1"/>
        <v>-5.1473355960832805</v>
      </c>
      <c r="Q13" s="359">
        <f>((1+O13/100)/(1+Inflation!F$9)-1)*100</f>
        <v>-0.29904235747347796</v>
      </c>
      <c r="R13" s="359">
        <f>((1+P13/100)/(1+Inflation!G$9)-1)*100</f>
        <v>-6.6324164536685215</v>
      </c>
      <c r="S13" s="304">
        <v>2849.198452740471</v>
      </c>
      <c r="T13" s="304">
        <v>3068.0339462517677</v>
      </c>
      <c r="U13" s="305">
        <v>3149.762186956516</v>
      </c>
      <c r="V13" s="305">
        <v>3293.5614153163892</v>
      </c>
      <c r="W13" s="305">
        <v>3628.1974670023274</v>
      </c>
      <c r="X13" s="305">
        <v>3385.3274552848457</v>
      </c>
      <c r="Y13" s="305">
        <v>3574.9310088480656</v>
      </c>
      <c r="Z13" s="305">
        <v>3458.85848597973</v>
      </c>
      <c r="AA13" s="305">
        <v>3578.33832219763</v>
      </c>
      <c r="AB13" s="305">
        <f>'[1]AdherentsCotisants'!$I$8</f>
        <v>3436.51940145593</v>
      </c>
      <c r="AC13" s="361">
        <f t="shared" si="2"/>
        <v>3.45431409530641</v>
      </c>
      <c r="AD13" s="361">
        <f t="shared" si="3"/>
        <v>-3.96326193814458</v>
      </c>
      <c r="AE13" s="361">
        <f>(AA13/(Z13*(1+Inflation!H$12))-1)*100</f>
        <v>3.45431409530641</v>
      </c>
      <c r="AF13" s="361">
        <f>(AB13/(AA13*(1+Inflation!G$12))-1)*100</f>
        <v>-5.708424637105436</v>
      </c>
    </row>
    <row r="14" spans="2:32" ht="15" customHeight="1">
      <c r="B14" s="91" t="s">
        <v>40</v>
      </c>
      <c r="C14" s="302">
        <v>773.5906646048342</v>
      </c>
      <c r="D14" s="303">
        <v>870.586496053615</v>
      </c>
      <c r="E14" s="303">
        <v>831.69419525595</v>
      </c>
      <c r="F14" s="303">
        <v>834.2629482071712</v>
      </c>
      <c r="G14" s="303">
        <v>890.8854268021331</v>
      </c>
      <c r="H14" s="303">
        <v>973.7207710007222</v>
      </c>
      <c r="I14" s="303">
        <v>1087.4553823425645</v>
      </c>
      <c r="J14" s="303">
        <v>951.7049617173207</v>
      </c>
      <c r="K14" s="303">
        <v>944.0310248576063</v>
      </c>
      <c r="L14" s="303">
        <v>916.3827071346155</v>
      </c>
      <c r="M14" s="303">
        <v>910.9655556204152</v>
      </c>
      <c r="N14" s="303">
        <f>'[1]AdherentsCotisants'!$C9/'[1]AdherentsCotisants'!$G9</f>
        <v>890.7143329798854</v>
      </c>
      <c r="O14" s="361">
        <f t="shared" si="0"/>
        <v>-0.591145104771662</v>
      </c>
      <c r="P14" s="361">
        <f t="shared" si="1"/>
        <v>-2.2230503135475477</v>
      </c>
      <c r="Q14" s="359">
        <f>((1+O14/100)/(1+Inflation!F$9)-1)*100</f>
        <v>-1.7623834540527072</v>
      </c>
      <c r="R14" s="359">
        <f>((1+P14/100)/(1+Inflation!G$9)-1)*100</f>
        <v>-3.753915863871815</v>
      </c>
      <c r="S14" s="304">
        <v>1056.3721068823602</v>
      </c>
      <c r="T14" s="304">
        <v>1113.8297872340427</v>
      </c>
      <c r="U14" s="305">
        <v>1150.9154591961023</v>
      </c>
      <c r="V14" s="305">
        <v>1262.492116899668</v>
      </c>
      <c r="W14" s="305">
        <v>1428.1698834431331</v>
      </c>
      <c r="X14" s="305">
        <v>1274.5991997415315</v>
      </c>
      <c r="Y14" s="305">
        <v>1285.516498361464</v>
      </c>
      <c r="Z14" s="305">
        <v>1298.358064254202</v>
      </c>
      <c r="AA14" s="305">
        <v>1122.6889714874942</v>
      </c>
      <c r="AB14" s="305">
        <f>'[1]AdherentsCotisants'!$I$9</f>
        <v>1273.26403633235</v>
      </c>
      <c r="AC14" s="361">
        <f t="shared" si="2"/>
        <v>-13.530096019206761</v>
      </c>
      <c r="AD14" s="361">
        <f t="shared" si="3"/>
        <v>13.41200178045332</v>
      </c>
      <c r="AE14" s="361">
        <f>(AA14/(Z14*(1+Inflation!H$12))-1)*100</f>
        <v>-13.530096019206761</v>
      </c>
      <c r="AF14" s="361">
        <f>(AB14/(AA14*(1+Inflation!G$12))-1)*100</f>
        <v>11.351098847720941</v>
      </c>
    </row>
    <row r="15" spans="2:32" ht="15" customHeight="1">
      <c r="B15" s="102" t="s">
        <v>201</v>
      </c>
      <c r="C15" s="315" t="s">
        <v>5</v>
      </c>
      <c r="D15" s="315" t="s">
        <v>5</v>
      </c>
      <c r="E15" s="315" t="s">
        <v>5</v>
      </c>
      <c r="F15" s="315" t="s">
        <v>5</v>
      </c>
      <c r="G15" s="315" t="s">
        <v>5</v>
      </c>
      <c r="H15" s="315" t="s">
        <v>5</v>
      </c>
      <c r="I15" s="315" t="s">
        <v>5</v>
      </c>
      <c r="J15" s="315" t="s">
        <v>5</v>
      </c>
      <c r="K15" s="315" t="s">
        <v>5</v>
      </c>
      <c r="L15" s="315" t="s">
        <v>5</v>
      </c>
      <c r="M15" s="315" t="s">
        <v>5</v>
      </c>
      <c r="N15" s="315" t="s">
        <v>5</v>
      </c>
      <c r="O15" s="358" t="s">
        <v>5</v>
      </c>
      <c r="P15" s="358" t="s">
        <v>5</v>
      </c>
      <c r="Q15" s="358" t="s">
        <v>5</v>
      </c>
      <c r="R15" s="358" t="s">
        <v>5</v>
      </c>
      <c r="S15" s="313" t="s">
        <v>5</v>
      </c>
      <c r="T15" s="313" t="s">
        <v>5</v>
      </c>
      <c r="U15" s="314" t="s">
        <v>5</v>
      </c>
      <c r="V15" s="314" t="s">
        <v>5</v>
      </c>
      <c r="W15" s="314" t="s">
        <v>5</v>
      </c>
      <c r="X15" s="314" t="s">
        <v>5</v>
      </c>
      <c r="Y15" s="314" t="s">
        <v>5</v>
      </c>
      <c r="Z15" s="314" t="s">
        <v>5</v>
      </c>
      <c r="AA15" s="314" t="s">
        <v>5</v>
      </c>
      <c r="AB15" s="314" t="s">
        <v>5</v>
      </c>
      <c r="AC15" s="358" t="s">
        <v>5</v>
      </c>
      <c r="AD15" s="358" t="s">
        <v>5</v>
      </c>
      <c r="AE15" s="358" t="s">
        <v>5</v>
      </c>
      <c r="AF15" s="358" t="s">
        <v>5</v>
      </c>
    </row>
    <row r="16" spans="2:32" ht="15" customHeight="1">
      <c r="B16" s="91" t="s">
        <v>202</v>
      </c>
      <c r="C16" s="302">
        <v>1127.8325149251023</v>
      </c>
      <c r="D16" s="303">
        <v>1343.8405063291139</v>
      </c>
      <c r="E16" s="303">
        <v>1566.4254901960783</v>
      </c>
      <c r="F16" s="303">
        <v>1560.0949707727127</v>
      </c>
      <c r="G16" s="303">
        <v>1442.1421557071544</v>
      </c>
      <c r="H16" s="303">
        <v>1315.5101579840712</v>
      </c>
      <c r="I16" s="303">
        <v>1056.7926905345998</v>
      </c>
      <c r="J16" s="303">
        <v>977.0054888250878</v>
      </c>
      <c r="K16" s="303">
        <v>991.9401153353452</v>
      </c>
      <c r="L16" s="303">
        <v>954.2978017002438</v>
      </c>
      <c r="M16" s="303">
        <v>892.2824668545982</v>
      </c>
      <c r="N16" s="303">
        <f>'[1]AdherentsCotisants'!$C10/'[1]AdherentsCotisants'!$G10</f>
        <v>915.8143730278773</v>
      </c>
      <c r="O16" s="361">
        <f t="shared" si="0"/>
        <v>-6.498530619598486</v>
      </c>
      <c r="P16" s="361">
        <f t="shared" si="1"/>
        <v>2.637270936885261</v>
      </c>
      <c r="Q16" s="359">
        <f>((1+O16/100)/(1+Inflation!F$9)-1)*100</f>
        <v>-7.600167961341064</v>
      </c>
      <c r="R16" s="359">
        <f>((1+P16/100)/(1+Inflation!G$9)-1)*100</f>
        <v>1.0303087360758134</v>
      </c>
      <c r="S16" s="304">
        <v>2515.27646799534</v>
      </c>
      <c r="T16" s="304">
        <v>2386.7429979222875</v>
      </c>
      <c r="U16" s="305">
        <v>2009.2657154763042</v>
      </c>
      <c r="V16" s="305">
        <v>2019.220193219409</v>
      </c>
      <c r="W16" s="305">
        <v>1717.24746373574</v>
      </c>
      <c r="X16" s="305">
        <v>1734.9539090249903</v>
      </c>
      <c r="Y16" s="305">
        <v>1889.2368965589633</v>
      </c>
      <c r="Z16" s="305">
        <v>1952.2943663078495</v>
      </c>
      <c r="AA16" s="305">
        <v>1924.8064553130368</v>
      </c>
      <c r="AB16" s="305">
        <f>'[1]AdherentsCotisants'!$I10</f>
        <v>1962.16565505709</v>
      </c>
      <c r="AC16" s="361">
        <f t="shared" si="2"/>
        <v>-1.4079798348646255</v>
      </c>
      <c r="AD16" s="361">
        <f t="shared" si="3"/>
        <v>1.9409327956548816</v>
      </c>
      <c r="AE16" s="361">
        <f>(AA16/(Z16*(1+Inflation!H$12))-1)*100</f>
        <v>-1.4079798348646255</v>
      </c>
      <c r="AF16" s="361">
        <f>(AB16/(AA16*(1+Inflation!G$12))-1)*100</f>
        <v>0.08848010929158878</v>
      </c>
    </row>
    <row r="17" spans="2:32" ht="15" customHeight="1">
      <c r="B17" s="91" t="s">
        <v>94</v>
      </c>
      <c r="C17" s="316" t="s">
        <v>5</v>
      </c>
      <c r="D17" s="316" t="s">
        <v>5</v>
      </c>
      <c r="E17" s="316" t="s">
        <v>5</v>
      </c>
      <c r="F17" s="316" t="s">
        <v>5</v>
      </c>
      <c r="G17" s="316" t="s">
        <v>5</v>
      </c>
      <c r="H17" s="316" t="s">
        <v>5</v>
      </c>
      <c r="I17" s="316" t="s">
        <v>5</v>
      </c>
      <c r="J17" s="316" t="s">
        <v>5</v>
      </c>
      <c r="K17" s="316" t="s">
        <v>5</v>
      </c>
      <c r="L17" s="316" t="s">
        <v>5</v>
      </c>
      <c r="M17" s="316" t="s">
        <v>5</v>
      </c>
      <c r="N17" s="316" t="s">
        <v>5</v>
      </c>
      <c r="O17" s="359" t="s">
        <v>5</v>
      </c>
      <c r="P17" s="359" t="s">
        <v>5</v>
      </c>
      <c r="Q17" s="359" t="s">
        <v>5</v>
      </c>
      <c r="R17" s="359" t="s">
        <v>5</v>
      </c>
      <c r="S17" s="317" t="s">
        <v>5</v>
      </c>
      <c r="T17" s="317" t="s">
        <v>5</v>
      </c>
      <c r="U17" s="318" t="s">
        <v>5</v>
      </c>
      <c r="V17" s="318" t="s">
        <v>5</v>
      </c>
      <c r="W17" s="318" t="s">
        <v>5</v>
      </c>
      <c r="X17" s="318" t="s">
        <v>5</v>
      </c>
      <c r="Y17" s="318" t="s">
        <v>5</v>
      </c>
      <c r="Z17" s="318" t="s">
        <v>5</v>
      </c>
      <c r="AA17" s="318" t="s">
        <v>5</v>
      </c>
      <c r="AB17" s="318" t="s">
        <v>5</v>
      </c>
      <c r="AC17" s="359" t="s">
        <v>5</v>
      </c>
      <c r="AD17" s="359" t="s">
        <v>5</v>
      </c>
      <c r="AE17" s="359" t="s">
        <v>5</v>
      </c>
      <c r="AF17" s="359" t="s">
        <v>5</v>
      </c>
    </row>
    <row r="18" spans="2:32" ht="15" customHeight="1">
      <c r="B18" s="91" t="s">
        <v>88</v>
      </c>
      <c r="C18" s="302">
        <v>576.4846701846966</v>
      </c>
      <c r="D18" s="303">
        <v>850.0299465283967</v>
      </c>
      <c r="E18" s="303">
        <v>939.5383609699056</v>
      </c>
      <c r="F18" s="303">
        <v>770.0552336710991</v>
      </c>
      <c r="G18" s="303">
        <v>633.9717388637434</v>
      </c>
      <c r="H18" s="303">
        <v>944.537832447617</v>
      </c>
      <c r="I18" s="303">
        <v>1120.8655949041683</v>
      </c>
      <c r="J18" s="303">
        <v>714.7078525820543</v>
      </c>
      <c r="K18" s="303">
        <v>921.0747533144969</v>
      </c>
      <c r="L18" s="303">
        <v>954.7991162225832</v>
      </c>
      <c r="M18" s="303">
        <v>973.1959778541463</v>
      </c>
      <c r="N18" s="303">
        <f>'[1]AdherentsCotisants'!$C12/'[1]AdherentsCotisants'!$G12</f>
        <v>972.0350656412645</v>
      </c>
      <c r="O18" s="361">
        <f t="shared" si="0"/>
        <v>1.9267782425632873</v>
      </c>
      <c r="P18" s="361">
        <f t="shared" si="1"/>
        <v>-0.11928863654385724</v>
      </c>
      <c r="Q18" s="359">
        <f>((1+O18/100)/(1+Inflation!F$9)-1)*100</f>
        <v>0.7258736388217502</v>
      </c>
      <c r="R18" s="359">
        <f>((1+P18/100)/(1+Inflation!G$9)-1)*100</f>
        <v>-1.6830921777519214</v>
      </c>
      <c r="S18" s="304">
        <v>3657.8164142771334</v>
      </c>
      <c r="T18" s="304">
        <v>3804.5389659520806</v>
      </c>
      <c r="U18" s="305">
        <v>1707.9973037382365</v>
      </c>
      <c r="V18" s="305">
        <v>2677.2703629657713</v>
      </c>
      <c r="W18" s="305">
        <v>3525.695911091637</v>
      </c>
      <c r="X18" s="305">
        <v>1381.8282204792622</v>
      </c>
      <c r="Y18" s="305">
        <v>2216.3638236893853</v>
      </c>
      <c r="Z18" s="305">
        <v>2106.842752133625</v>
      </c>
      <c r="AA18" s="305">
        <v>2578.1805148815724</v>
      </c>
      <c r="AB18" s="305">
        <f>'[1]AdherentsCotisants'!$I12</f>
        <v>2818.41418403508</v>
      </c>
      <c r="AC18" s="361">
        <f t="shared" si="2"/>
        <v>22.371758037974978</v>
      </c>
      <c r="AD18" s="361">
        <f t="shared" si="3"/>
        <v>9.317953795975464</v>
      </c>
      <c r="AE18" s="361">
        <f>(AA18/(Z18*(1+Inflation!H$12))-1)*100</f>
        <v>22.371758037974978</v>
      </c>
      <c r="AF18" s="361">
        <f>(AB18/(AA18*(1+Inflation!G$12))-1)*100</f>
        <v>7.33144718255232</v>
      </c>
    </row>
    <row r="19" spans="2:32" ht="15" customHeight="1">
      <c r="B19" s="91" t="s">
        <v>141</v>
      </c>
      <c r="C19" s="216">
        <v>686.9747497426987</v>
      </c>
      <c r="D19" s="213">
        <v>752.4654656149069</v>
      </c>
      <c r="E19" s="213">
        <v>801.5565169258097</v>
      </c>
      <c r="F19" s="213">
        <v>663.2411076230662</v>
      </c>
      <c r="G19" s="213">
        <v>644.715522277296</v>
      </c>
      <c r="H19" s="213">
        <v>697.4393368402697</v>
      </c>
      <c r="I19" s="213">
        <v>696.0440907461723</v>
      </c>
      <c r="J19" s="213">
        <v>644.5513478706771</v>
      </c>
      <c r="K19" s="213">
        <v>631.6001225149437</v>
      </c>
      <c r="L19" s="303">
        <v>552.8782827439651</v>
      </c>
      <c r="M19" s="303">
        <v>700.7005105317704</v>
      </c>
      <c r="N19" s="303">
        <f>SUM('[1]AdherentsCotisants'!$C$13,'[1]AdherentsCotisants'!$C$15:$C$16)/SUM('[1]AdherentsCotisants'!$H$13,'[1]AdherentsCotisants'!$G$15:$G$16)</f>
        <v>1331.9107860043257</v>
      </c>
      <c r="O19" s="361">
        <f t="shared" si="0"/>
        <v>26.736848308484017</v>
      </c>
      <c r="P19" s="361">
        <f t="shared" si="1"/>
        <v>90.08274804788165</v>
      </c>
      <c r="Q19" s="359">
        <f>((1+O19/100)/(1+Inflation!F$9)-1)*100</f>
        <v>25.243630655364925</v>
      </c>
      <c r="R19" s="359">
        <f>((1+P19/100)/(1+Inflation!G$9)-1)*100</f>
        <v>87.10667718833234</v>
      </c>
      <c r="S19" s="215">
        <v>1309.6818713428038</v>
      </c>
      <c r="T19" s="215">
        <v>1503.764280194112</v>
      </c>
      <c r="U19" s="214">
        <v>1296.4094279981448</v>
      </c>
      <c r="V19" s="214">
        <v>1455.2716523217707</v>
      </c>
      <c r="W19" s="214">
        <v>1425.4239173000678</v>
      </c>
      <c r="X19" s="214">
        <v>1428.1061056153756</v>
      </c>
      <c r="Y19" s="214">
        <v>1507.9075103834552</v>
      </c>
      <c r="Z19" s="305">
        <v>1279.5820162693062</v>
      </c>
      <c r="AA19" s="305">
        <v>1655.7851360071822</v>
      </c>
      <c r="AB19" s="305">
        <f>SUM('[1]AdherentsCotisants'!$C$13,'[1]AdherentsCotisants'!$C$15:$C$16)/SUM('[1]AdherentsCotisants'!$H$13,'[1]AdherentsCotisants'!$H$15:$H$16)</f>
        <v>1477.5584916510104</v>
      </c>
      <c r="AC19" s="361">
        <f t="shared" si="2"/>
        <v>29.400469446633636</v>
      </c>
      <c r="AD19" s="361">
        <f t="shared" si="3"/>
        <v>-10.763875123674183</v>
      </c>
      <c r="AE19" s="361">
        <f>(AA19/(Z19*(1+Inflation!H$12))-1)*100</f>
        <v>29.400469446633636</v>
      </c>
      <c r="AF19" s="361">
        <f>(AB19/(AA19*(1+Inflation!G$12))-1)*100</f>
        <v>-12.385458276921991</v>
      </c>
    </row>
    <row r="20" spans="2:32" ht="15" customHeight="1">
      <c r="B20" s="114" t="s">
        <v>2</v>
      </c>
      <c r="C20" s="306">
        <v>336.1095989401421</v>
      </c>
      <c r="D20" s="307">
        <v>379.14778279643207</v>
      </c>
      <c r="E20" s="307">
        <v>461.4088752937004</v>
      </c>
      <c r="F20" s="307">
        <v>418.7893418391163</v>
      </c>
      <c r="G20" s="307">
        <v>520.5135893444475</v>
      </c>
      <c r="H20" s="307">
        <v>481.86231926865656</v>
      </c>
      <c r="I20" s="307">
        <v>472.40213948318984</v>
      </c>
      <c r="J20" s="307">
        <v>464.6117910512036</v>
      </c>
      <c r="K20" s="307">
        <v>424.28219569603226</v>
      </c>
      <c r="L20" s="307">
        <v>368.97530288322133</v>
      </c>
      <c r="M20" s="307">
        <v>361.542904493759</v>
      </c>
      <c r="N20" s="307">
        <f>'[1]AdherentsCotisants'!$C$14/'[1]AdherentsCotisants'!$G$14</f>
        <v>211.58989210007937</v>
      </c>
      <c r="O20" s="362">
        <f>(M20/L20-1)*100</f>
        <v>-2.014334924691319</v>
      </c>
      <c r="P20" s="362">
        <f>(N20/M20-1)*100</f>
        <v>-41.47585543233034</v>
      </c>
      <c r="Q20" s="362">
        <f>((1+O20/100)/(1+Inflation!F$9)-1)*100</f>
        <v>-3.168805205401881</v>
      </c>
      <c r="R20" s="362">
        <f>((1+P20/100)/(1+Inflation!G$9)-1)*100</f>
        <v>-42.392151114166865</v>
      </c>
      <c r="S20" s="308">
        <v>562.4425830856525</v>
      </c>
      <c r="T20" s="308">
        <v>775.81077147016</v>
      </c>
      <c r="U20" s="309">
        <v>638.8270780371312</v>
      </c>
      <c r="V20" s="309">
        <v>616.6406074293868</v>
      </c>
      <c r="W20" s="309">
        <v>573.8213574538458</v>
      </c>
      <c r="X20" s="309">
        <v>580.4148052506995</v>
      </c>
      <c r="Y20" s="309">
        <v>849.5356157005319</v>
      </c>
      <c r="Z20" s="309">
        <v>1495.03179832963</v>
      </c>
      <c r="AA20" s="309">
        <v>692.0629164455452</v>
      </c>
      <c r="AB20" s="309">
        <f>'[1]AdherentsCotisants'!$I14</f>
        <v>430.585557018069</v>
      </c>
      <c r="AC20" s="362">
        <f t="shared" si="2"/>
        <v>-53.70915072048811</v>
      </c>
      <c r="AD20" s="362">
        <f t="shared" si="3"/>
        <v>-37.782310424958375</v>
      </c>
      <c r="AE20" s="362">
        <f>(AA20/(Z20*(1+Inflation!H$12))-1)*100</f>
        <v>-53.70915072048811</v>
      </c>
      <c r="AF20" s="362">
        <f>(AB20/(AA20*(1+Inflation!G$12))-1)*100</f>
        <v>-38.91291932789669</v>
      </c>
    </row>
    <row r="25" ht="24.75" customHeight="1">
      <c r="B25" s="14"/>
    </row>
    <row r="32" s="4" customFormat="1" ht="11.25"/>
    <row r="33" s="4" customFormat="1" ht="11.25"/>
    <row r="34" s="4" customFormat="1" ht="11.25"/>
  </sheetData>
  <sheetProtection/>
  <mergeCells count="9">
    <mergeCell ref="B3:B5"/>
    <mergeCell ref="O3:R3"/>
    <mergeCell ref="AC3:AF3"/>
    <mergeCell ref="O4:P4"/>
    <mergeCell ref="Q4:R4"/>
    <mergeCell ref="AE4:AF4"/>
    <mergeCell ref="AC4:AD4"/>
    <mergeCell ref="C3:N4"/>
    <mergeCell ref="S3:AB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theme="3" tint="0.5999900102615356"/>
  </sheetPr>
  <dimension ref="B1:L41"/>
  <sheetViews>
    <sheetView zoomScalePageLayoutView="0" workbookViewId="0" topLeftCell="A1">
      <selection activeCell="AA16" sqref="W16:AA16"/>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57" t="s">
        <v>224</v>
      </c>
      <c r="C1" s="457"/>
      <c r="D1" s="457"/>
      <c r="E1" s="457"/>
      <c r="F1" s="457"/>
      <c r="G1" s="457"/>
      <c r="H1" s="457"/>
      <c r="I1" s="457"/>
      <c r="J1" s="457"/>
    </row>
    <row r="2" spans="2:12" ht="15" customHeight="1">
      <c r="B2" s="1"/>
      <c r="C2" s="4"/>
      <c r="G2" s="24"/>
      <c r="H2" s="24"/>
      <c r="L2" s="86" t="s">
        <v>66</v>
      </c>
    </row>
    <row r="3" spans="2:12" s="3" customFormat="1" ht="15" customHeight="1">
      <c r="B3" s="124" t="s">
        <v>111</v>
      </c>
      <c r="C3" s="124">
        <v>2009</v>
      </c>
      <c r="D3" s="124">
        <v>2010</v>
      </c>
      <c r="E3" s="124">
        <v>2011</v>
      </c>
      <c r="F3" s="124">
        <v>2012</v>
      </c>
      <c r="G3" s="124">
        <v>2013</v>
      </c>
      <c r="H3" s="124">
        <v>2014</v>
      </c>
      <c r="I3" s="124">
        <v>2015</v>
      </c>
      <c r="J3" s="124">
        <v>2016</v>
      </c>
      <c r="K3" s="124">
        <v>2017</v>
      </c>
      <c r="L3" s="124">
        <v>2018</v>
      </c>
    </row>
    <row r="4" spans="2:12" ht="15" customHeight="1">
      <c r="B4" s="11" t="s">
        <v>142</v>
      </c>
      <c r="C4" s="219">
        <v>40.87603904204199</v>
      </c>
      <c r="D4" s="219">
        <v>38.34329153587771</v>
      </c>
      <c r="E4" s="219">
        <v>38.220442636140824</v>
      </c>
      <c r="F4" s="219">
        <v>38.662203884862265</v>
      </c>
      <c r="G4" s="219">
        <v>36.94012641814496</v>
      </c>
      <c r="H4" s="219">
        <v>35.918445480038244</v>
      </c>
      <c r="I4" s="219">
        <v>35.11527968321105</v>
      </c>
      <c r="J4" s="219">
        <v>35.245698196546414</v>
      </c>
      <c r="K4" s="219">
        <v>35.44098708018053</v>
      </c>
      <c r="L4" s="219">
        <f>+'[3]31-g4 prop cotis actifs'!$L$35</f>
        <v>35.53730963151489</v>
      </c>
    </row>
    <row r="5" spans="2:12" ht="30" customHeight="1">
      <c r="B5" s="68" t="s">
        <v>143</v>
      </c>
      <c r="C5" s="219">
        <v>9.379851707024622</v>
      </c>
      <c r="D5" s="219">
        <v>7.272730713983179</v>
      </c>
      <c r="E5" s="219">
        <v>8.120120941050551</v>
      </c>
      <c r="F5" s="219">
        <v>7.979075172401588</v>
      </c>
      <c r="G5" s="219">
        <v>8.120726280154118</v>
      </c>
      <c r="H5" s="219">
        <v>8.884503871817072</v>
      </c>
      <c r="I5" s="219">
        <v>9.209192208220719</v>
      </c>
      <c r="J5" s="219">
        <v>9.830617868662861</v>
      </c>
      <c r="K5" s="219">
        <v>9.475504744210241</v>
      </c>
      <c r="L5" s="219">
        <f>'[3]31-g4 prop cotis actifs'!$L$36</f>
        <v>9.541756862507585</v>
      </c>
    </row>
    <row r="6" spans="2:12" ht="30" customHeight="1">
      <c r="B6" s="68" t="s">
        <v>126</v>
      </c>
      <c r="C6" s="219">
        <v>6.189340147415455</v>
      </c>
      <c r="D6" s="219">
        <v>6.2519656125450656</v>
      </c>
      <c r="E6" s="219">
        <v>6.069453148929607</v>
      </c>
      <c r="F6" s="219">
        <v>6.044745900310554</v>
      </c>
      <c r="G6" s="219">
        <v>5.553198973333517</v>
      </c>
      <c r="H6" s="219">
        <v>5.757532272367541</v>
      </c>
      <c r="I6" s="219">
        <v>4.868191151030636</v>
      </c>
      <c r="J6" s="219">
        <v>5.295497841676866</v>
      </c>
      <c r="K6" s="219">
        <v>5.450362088204348</v>
      </c>
      <c r="L6" s="219">
        <f>'[3]31-g4 prop cotis actifs'!$L$37</f>
        <v>4.898103891037403</v>
      </c>
    </row>
    <row r="7" spans="2:12" ht="15" customHeight="1">
      <c r="B7" s="68" t="s">
        <v>112</v>
      </c>
      <c r="C7" s="219">
        <v>1.3892955109785003</v>
      </c>
      <c r="D7" s="219">
        <v>1.858979190396991</v>
      </c>
      <c r="E7" s="219">
        <v>2.850319290602002</v>
      </c>
      <c r="F7" s="219">
        <v>3.241044945972144</v>
      </c>
      <c r="G7" s="219">
        <v>4.058657017826649</v>
      </c>
      <c r="H7" s="219">
        <v>4.274112622683115</v>
      </c>
      <c r="I7" s="219">
        <v>4.464630694866976</v>
      </c>
      <c r="J7" s="219">
        <v>4.630619780343916</v>
      </c>
      <c r="K7" s="219">
        <v>5.60373386041838</v>
      </c>
      <c r="L7" s="219">
        <f>'[3]31-g4 prop cotis actifs'!$L$38</f>
        <v>4.9652614582407395</v>
      </c>
    </row>
    <row r="8" spans="2:12" ht="26.25" customHeight="1">
      <c r="B8" s="68" t="s">
        <v>144</v>
      </c>
      <c r="C8" s="219">
        <v>20.473439161689768</v>
      </c>
      <c r="D8" s="219">
        <v>19.02045017266127</v>
      </c>
      <c r="E8" s="219">
        <v>20.500780821100985</v>
      </c>
      <c r="F8" s="219">
        <v>20.8449828828832</v>
      </c>
      <c r="G8" s="219">
        <v>21.083858079431835</v>
      </c>
      <c r="H8" s="219">
        <v>21.6823929555497</v>
      </c>
      <c r="I8" s="219">
        <v>21.63700859131317</v>
      </c>
      <c r="J8" s="219">
        <v>21.904881636814945</v>
      </c>
      <c r="K8" s="219">
        <v>22.610388015517152</v>
      </c>
      <c r="L8" s="219">
        <f>'[3]31-g4 prop cotis actifs'!$L$39</f>
        <v>21.552019459527955</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51"/>
      <c r="J27" s="22"/>
    </row>
    <row r="28" spans="8:10" ht="11.25">
      <c r="H28" s="4"/>
      <c r="I28" s="51"/>
      <c r="J28" s="22"/>
    </row>
    <row r="29" spans="8:10" ht="11.25">
      <c r="H29" s="4"/>
      <c r="I29" s="51"/>
      <c r="J29" s="22"/>
    </row>
    <row r="30" spans="9:10" ht="11.25">
      <c r="I30" s="51"/>
      <c r="J30" s="22"/>
    </row>
    <row r="31" spans="9:10" ht="11.25">
      <c r="I31" s="51"/>
      <c r="J31" s="22"/>
    </row>
    <row r="34" ht="11.25">
      <c r="C34" s="14"/>
    </row>
    <row r="41" spans="4:8" ht="11.25">
      <c r="D41" s="22"/>
      <c r="E41" s="22"/>
      <c r="F41" s="22"/>
      <c r="G41" s="22"/>
      <c r="H41" s="22"/>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LANGEVIN, Gabin (DREES/OS/RETR)</cp:lastModifiedBy>
  <cp:lastPrinted>2012-11-27T13:32:54Z</cp:lastPrinted>
  <dcterms:created xsi:type="dcterms:W3CDTF">2009-10-19T15:35:04Z</dcterms:created>
  <dcterms:modified xsi:type="dcterms:W3CDTF">2020-01-16T09:19:27Z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